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TIKKU-HOO\VASTUULLINEN MATKAILU  -hanke 2016\Viestintä\Hankkeen nettisivu\Päätössivun aineistot\"/>
    </mc:Choice>
  </mc:AlternateContent>
  <xr:revisionPtr revIDLastSave="0" documentId="8_{F6EA5DA9-DE0E-454E-BFB4-6E57DB019CAE}" xr6:coauthVersionLast="43" xr6:coauthVersionMax="43" xr10:uidLastSave="{00000000-0000-0000-0000-000000000000}"/>
  <bookViews>
    <workbookView xWindow="825" yWindow="-120" windowWidth="23295" windowHeight="13740" firstSheet="1" activeTab="1" xr2:uid="{00000000-000D-0000-FFFF-FFFF00000000}"/>
  </bookViews>
  <sheets>
    <sheet name="Tiedot" sheetId="12" r:id="rId1"/>
    <sheet name="Hiilijalanjälki" sheetId="7" r:id="rId2"/>
    <sheet name="Sähkönkulutus" sheetId="1" r:id="rId3"/>
    <sheet name="Lämpö- ja polttoaineet" sheetId="2" r:id="rId4"/>
    <sheet name="Muut" sheetId="5" r:id="rId5"/>
    <sheet name="Ruuan valmistus" sheetId="11" r:id="rId6"/>
    <sheet name="Päästökertoimet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8" i="5" l="1"/>
  <c r="H48" i="5" s="1"/>
  <c r="H51" i="5" s="1"/>
  <c r="G49" i="5"/>
  <c r="H49" i="5"/>
  <c r="F56" i="5"/>
  <c r="G56" i="5"/>
  <c r="G58" i="5" s="1"/>
  <c r="F57" i="5"/>
  <c r="G57" i="5" s="1"/>
  <c r="D5" i="5"/>
  <c r="D10" i="5" s="1"/>
  <c r="D6" i="5"/>
  <c r="D7" i="5"/>
  <c r="D8" i="5"/>
  <c r="D9" i="5"/>
  <c r="D20" i="5"/>
  <c r="D23" i="5"/>
  <c r="D24" i="5"/>
  <c r="D25" i="5" s="1"/>
  <c r="D28" i="5"/>
  <c r="D29" i="5"/>
  <c r="D30" i="5"/>
  <c r="D31" i="5" s="1"/>
  <c r="D14" i="5"/>
  <c r="D15" i="5"/>
  <c r="D16" i="5"/>
  <c r="D18" i="5" s="1"/>
  <c r="D17" i="5"/>
  <c r="D39" i="5"/>
  <c r="D41" i="5" s="1"/>
  <c r="D40" i="5"/>
  <c r="C4" i="1"/>
  <c r="C6" i="1" s="1"/>
  <c r="C4" i="7" s="1"/>
  <c r="C5" i="1"/>
  <c r="G4" i="2"/>
  <c r="N4" i="2" s="1"/>
  <c r="A32" i="2"/>
  <c r="I17" i="2" s="1"/>
  <c r="G5" i="2"/>
  <c r="N5" i="2" s="1"/>
  <c r="G6" i="2"/>
  <c r="N6" i="2"/>
  <c r="E7" i="2"/>
  <c r="F7" i="2"/>
  <c r="G7" i="2" s="1"/>
  <c r="E8" i="2"/>
  <c r="F8" i="2"/>
  <c r="G8" i="2"/>
  <c r="N8" i="2" s="1"/>
  <c r="G12" i="2"/>
  <c r="O12" i="2" s="1"/>
  <c r="N12" i="2"/>
  <c r="E14" i="2"/>
  <c r="F14" i="2"/>
  <c r="G14" i="2"/>
  <c r="N14" i="2" s="1"/>
  <c r="E17" i="2"/>
  <c r="G17" i="2" s="1"/>
  <c r="F17" i="2"/>
  <c r="E18" i="2"/>
  <c r="F18" i="2"/>
  <c r="G18" i="2"/>
  <c r="O18" i="2" s="1"/>
  <c r="E22" i="2"/>
  <c r="F22" i="2"/>
  <c r="L22" i="2" s="1"/>
  <c r="L25" i="2" s="1"/>
  <c r="H17" i="2"/>
  <c r="H18" i="2"/>
  <c r="I18" i="2"/>
  <c r="H22" i="2"/>
  <c r="I4" i="2"/>
  <c r="H24" i="2" s="1"/>
  <c r="I6" i="2"/>
  <c r="H6" i="2"/>
  <c r="H51" i="2"/>
  <c r="C19" i="1"/>
  <c r="D19" i="1" s="1"/>
  <c r="G5" i="5"/>
  <c r="C18" i="1"/>
  <c r="D18" i="1"/>
  <c r="C17" i="1"/>
  <c r="D17" i="1" s="1"/>
  <c r="C16" i="1"/>
  <c r="D16" i="1"/>
  <c r="C15" i="1"/>
  <c r="D15" i="1" s="1"/>
  <c r="G4" i="11"/>
  <c r="G5" i="11"/>
  <c r="G6" i="11"/>
  <c r="AD42" i="11"/>
  <c r="AD40" i="11"/>
  <c r="H57" i="2"/>
  <c r="H15" i="5"/>
  <c r="H33" i="5" s="1"/>
  <c r="AD41" i="11"/>
  <c r="AD59" i="11"/>
  <c r="AD54" i="11"/>
  <c r="AD65" i="11"/>
  <c r="AD68" i="11"/>
  <c r="AD39" i="11"/>
  <c r="AD63" i="11"/>
  <c r="AD67" i="11"/>
  <c r="AD34" i="11"/>
  <c r="AD35" i="11"/>
  <c r="AD36" i="11"/>
  <c r="AD37" i="11"/>
  <c r="AD38" i="11"/>
  <c r="AD43" i="11"/>
  <c r="AD44" i="11"/>
  <c r="AD45" i="11"/>
  <c r="AD46" i="11"/>
  <c r="AD47" i="11"/>
  <c r="AD48" i="11"/>
  <c r="AD49" i="11"/>
  <c r="AD50" i="11"/>
  <c r="AD51" i="11"/>
  <c r="AD52" i="11"/>
  <c r="AD53" i="11"/>
  <c r="AD55" i="11"/>
  <c r="AD56" i="11"/>
  <c r="AD57" i="11"/>
  <c r="AD58" i="11"/>
  <c r="AD60" i="11"/>
  <c r="AD61" i="11"/>
  <c r="AD62" i="11"/>
  <c r="AD64" i="11"/>
  <c r="AD66" i="11"/>
  <c r="AD69" i="11"/>
  <c r="E34" i="11"/>
  <c r="E52" i="11" s="1"/>
  <c r="B15" i="11" s="1"/>
  <c r="E44" i="11"/>
  <c r="E45" i="11"/>
  <c r="E50" i="11"/>
  <c r="E43" i="11"/>
  <c r="J38" i="11"/>
  <c r="J39" i="11"/>
  <c r="O37" i="11"/>
  <c r="J49" i="11"/>
  <c r="J55" i="11"/>
  <c r="J62" i="11"/>
  <c r="J76" i="11"/>
  <c r="J77" i="11"/>
  <c r="T37" i="11"/>
  <c r="Y43" i="11"/>
  <c r="Y44" i="11"/>
  <c r="Y52" i="11"/>
  <c r="Y40" i="11"/>
  <c r="Y41" i="11"/>
  <c r="Y49" i="11"/>
  <c r="T58" i="11"/>
  <c r="AF45" i="11"/>
  <c r="T35" i="11"/>
  <c r="J40" i="11"/>
  <c r="J41" i="11" s="1"/>
  <c r="B16" i="11" s="1"/>
  <c r="J34" i="11"/>
  <c r="Y35" i="11"/>
  <c r="Y36" i="11"/>
  <c r="Y37" i="11"/>
  <c r="Y38" i="11"/>
  <c r="Y39" i="11"/>
  <c r="Y42" i="11"/>
  <c r="Y45" i="11"/>
  <c r="Y46" i="11"/>
  <c r="Y47" i="11"/>
  <c r="Y48" i="11"/>
  <c r="Y50" i="11"/>
  <c r="Y51" i="11"/>
  <c r="Y34" i="11"/>
  <c r="T59" i="11"/>
  <c r="T60" i="11"/>
  <c r="T57" i="11"/>
  <c r="T61" i="11" s="1"/>
  <c r="B22" i="11" s="1"/>
  <c r="T52" i="11"/>
  <c r="T53" i="11"/>
  <c r="T54" i="11"/>
  <c r="T55" i="11" s="1"/>
  <c r="B21" i="11" s="1"/>
  <c r="T51" i="11"/>
  <c r="T36" i="11"/>
  <c r="T38" i="11"/>
  <c r="T39" i="11"/>
  <c r="T40" i="11"/>
  <c r="T41" i="11"/>
  <c r="T42" i="11"/>
  <c r="T43" i="11"/>
  <c r="T44" i="11"/>
  <c r="T45" i="11"/>
  <c r="T46" i="11"/>
  <c r="T47" i="11"/>
  <c r="T48" i="11"/>
  <c r="T34" i="11"/>
  <c r="O55" i="11"/>
  <c r="O56" i="11"/>
  <c r="O61" i="11" s="1"/>
  <c r="B19" i="11" s="1"/>
  <c r="O57" i="11"/>
  <c r="O58" i="11"/>
  <c r="O59" i="11"/>
  <c r="O60" i="11"/>
  <c r="O54" i="11"/>
  <c r="O35" i="11"/>
  <c r="O36" i="11"/>
  <c r="O52" i="11" s="1"/>
  <c r="B18" i="11" s="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34" i="11"/>
  <c r="J45" i="11"/>
  <c r="J81" i="11" s="1"/>
  <c r="B17" i="11" s="1"/>
  <c r="J46" i="11"/>
  <c r="J47" i="11"/>
  <c r="J48" i="11"/>
  <c r="J50" i="11"/>
  <c r="J51" i="11"/>
  <c r="J52" i="11"/>
  <c r="J53" i="11"/>
  <c r="J54" i="11"/>
  <c r="J56" i="11"/>
  <c r="J57" i="11"/>
  <c r="J58" i="11"/>
  <c r="J59" i="11"/>
  <c r="J60" i="11"/>
  <c r="J61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8" i="11"/>
  <c r="J79" i="11"/>
  <c r="J80" i="11"/>
  <c r="J44" i="11"/>
  <c r="E81" i="11"/>
  <c r="E82" i="11"/>
  <c r="E83" i="11" s="1"/>
  <c r="B26" i="11" s="1"/>
  <c r="E80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55" i="11"/>
  <c r="J35" i="11"/>
  <c r="J36" i="11"/>
  <c r="J37" i="11"/>
  <c r="E35" i="11"/>
  <c r="E36" i="11"/>
  <c r="E37" i="11"/>
  <c r="E38" i="11"/>
  <c r="E39" i="11"/>
  <c r="E40" i="11"/>
  <c r="E41" i="11"/>
  <c r="E42" i="11"/>
  <c r="E46" i="11"/>
  <c r="E47" i="11"/>
  <c r="E48" i="11"/>
  <c r="E49" i="11"/>
  <c r="E51" i="11"/>
  <c r="E11" i="11"/>
  <c r="G11" i="11" s="1"/>
  <c r="E10" i="11"/>
  <c r="G10" i="11"/>
  <c r="E9" i="11"/>
  <c r="G9" i="11" s="1"/>
  <c r="K7" i="2"/>
  <c r="M8" i="2"/>
  <c r="L24" i="2" s="1"/>
  <c r="M17" i="2"/>
  <c r="L18" i="2"/>
  <c r="H39" i="2"/>
  <c r="H40" i="2"/>
  <c r="H41" i="2"/>
  <c r="H42" i="2"/>
  <c r="H43" i="2"/>
  <c r="B44" i="2"/>
  <c r="H44" i="2" s="1"/>
  <c r="H45" i="2"/>
  <c r="H46" i="2"/>
  <c r="H47" i="2"/>
  <c r="H48" i="2"/>
  <c r="H49" i="2"/>
  <c r="H50" i="2"/>
  <c r="H52" i="2"/>
  <c r="H53" i="2"/>
  <c r="H54" i="2"/>
  <c r="H38" i="2"/>
  <c r="H5" i="2"/>
  <c r="M12" i="2"/>
  <c r="L12" i="2"/>
  <c r="L4" i="2"/>
  <c r="K18" i="2"/>
  <c r="K4" i="2"/>
  <c r="J12" i="2"/>
  <c r="J4" i="2"/>
  <c r="M22" i="2"/>
  <c r="M18" i="2"/>
  <c r="K14" i="2"/>
  <c r="L14" i="2"/>
  <c r="H14" i="2"/>
  <c r="I12" i="2"/>
  <c r="H12" i="2"/>
  <c r="H8" i="2"/>
  <c r="H7" i="2"/>
  <c r="H4" i="2"/>
  <c r="L53" i="5"/>
  <c r="K49" i="5"/>
  <c r="I49" i="5"/>
  <c r="K48" i="5"/>
  <c r="J48" i="5"/>
  <c r="I48" i="5"/>
  <c r="J8" i="2"/>
  <c r="L7" i="2"/>
  <c r="M14" i="2"/>
  <c r="I14" i="2"/>
  <c r="K12" i="2"/>
  <c r="M4" i="2"/>
  <c r="J22" i="2"/>
  <c r="E78" i="11"/>
  <c r="B25" i="11" s="1"/>
  <c r="T49" i="11"/>
  <c r="B20" i="11" s="1"/>
  <c r="J14" i="2"/>
  <c r="L17" i="2"/>
  <c r="K22" i="2"/>
  <c r="J18" i="2"/>
  <c r="I5" i="2"/>
  <c r="I8" i="2"/>
  <c r="I7" i="2"/>
  <c r="K8" i="2"/>
  <c r="J17" i="2"/>
  <c r="L8" i="2"/>
  <c r="K17" i="2"/>
  <c r="J25" i="2"/>
  <c r="J7" i="2"/>
  <c r="M7" i="2"/>
  <c r="J24" i="2"/>
  <c r="AD70" i="11"/>
  <c r="B24" i="11" s="1"/>
  <c r="Y53" i="11"/>
  <c r="B23" i="11" s="1"/>
  <c r="K7" i="7"/>
  <c r="G12" i="11" l="1"/>
  <c r="O7" i="2"/>
  <c r="N7" i="2"/>
  <c r="F4" i="7"/>
  <c r="D18" i="11"/>
  <c r="D34" i="5"/>
  <c r="D23" i="11"/>
  <c r="D20" i="11"/>
  <c r="D22" i="11"/>
  <c r="D15" i="11"/>
  <c r="B27" i="11"/>
  <c r="D26" i="11" s="1"/>
  <c r="N17" i="2"/>
  <c r="O17" i="2"/>
  <c r="C60" i="5"/>
  <c r="C6" i="7" s="1"/>
  <c r="F6" i="7" s="1"/>
  <c r="K6" i="7" s="1"/>
  <c r="G22" i="2"/>
  <c r="N18" i="2"/>
  <c r="O4" i="2"/>
  <c r="N24" i="2" s="1"/>
  <c r="O14" i="2"/>
  <c r="O8" i="2"/>
  <c r="O5" i="2"/>
  <c r="I22" i="2"/>
  <c r="H25" i="2" s="1"/>
  <c r="D21" i="11" l="1"/>
  <c r="D17" i="11"/>
  <c r="D19" i="11"/>
  <c r="K4" i="7"/>
  <c r="N25" i="2"/>
  <c r="N26" i="2" s="1"/>
  <c r="C5" i="7" s="1"/>
  <c r="N22" i="2"/>
  <c r="O22" i="2"/>
  <c r="P9" i="11"/>
  <c r="P10" i="11"/>
  <c r="D24" i="11"/>
  <c r="D16" i="11"/>
  <c r="D27" i="11" s="1"/>
  <c r="D25" i="11"/>
  <c r="F5" i="7" l="1"/>
  <c r="C7" i="7"/>
  <c r="C8" i="7" l="1"/>
  <c r="F20" i="7"/>
  <c r="G20" i="7" s="1"/>
  <c r="E7" i="7"/>
  <c r="K5" i="7"/>
  <c r="K8" i="7" s="1"/>
  <c r="F7" i="7"/>
  <c r="F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Siiskonen Timo</author>
  </authors>
  <commentList>
    <comment ref="E1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Tai esimerkiksi kappaletta / kiloa / litraa tuotetta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Siiskonen Timo</author>
  </authors>
  <commentList>
    <comment ref="A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Energiayksikköä kohti bensiinin ja dieselin kasvihuonekaasupäästöt ovat samat</t>
        </r>
      </text>
    </comment>
    <comment ref="B44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Siiskonen Timo:</t>
        </r>
        <r>
          <rPr>
            <sz val="9"/>
            <color indexed="81"/>
            <rFont val="Tahoma"/>
            <charset val="1"/>
          </rPr>
          <t xml:space="preserve">
keskiarvo 4,4-7,4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Siiskonen Timo</author>
  </authors>
  <commentList>
    <comment ref="B1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Vuodessa ajetut kilometrit</t>
        </r>
      </text>
    </comment>
    <comment ref="C13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Auton päästöt, esim. rekisteriotteesta
</t>
        </r>
      </text>
    </comment>
    <comment ref="B38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Levitetyn lannoitteen sisältämä typpi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Siiskonen Timo</author>
  </authors>
  <commentList>
    <comment ref="A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Siiskonen Timo:</t>
        </r>
        <r>
          <rPr>
            <sz val="9"/>
            <color indexed="81"/>
            <rFont val="Tahoma"/>
            <family val="2"/>
          </rPr>
          <t xml:space="preserve">
uusi astianpesukone vanhempi huomattavasti enemmin
</t>
        </r>
      </text>
    </comment>
  </commentList>
</comments>
</file>

<file path=xl/sharedStrings.xml><?xml version="1.0" encoding="utf-8"?>
<sst xmlns="http://schemas.openxmlformats.org/spreadsheetml/2006/main" count="789" uniqueCount="520">
  <si>
    <t>Tämä laskuri on tehty osana MAMK:n VÄHIMAT - Kohti vähähiilistä matkailua Etelä-Savossa hanketta</t>
  </si>
  <si>
    <t>www.mamk.fi/vahimat</t>
  </si>
  <si>
    <t xml:space="preserve">Laskuri muokattii Suomen Ympäristökeskuksen Y-Hiilari laskurista (Kontiokorpi Anniina 2011) </t>
  </si>
  <si>
    <t>http://www.syke.fi/fi-FI/Tutkimus__kehittaminen/Kulutuksen_ja_tuotannon_kestavyys/Laskurit/Yhiilari</t>
  </si>
  <si>
    <t>Laskuri tehtiin pääasiassa VÄHIMAT-hankkeen hankeyritysten hiilijalanjälki laskelmien tarkistamista varten,</t>
  </si>
  <si>
    <t>mutta sitä voidaan periaatteessa soveltaa mille tahansa yritykselle. Laskenta tapahtuu eri värilehdillä, joihin</t>
  </si>
  <si>
    <t xml:space="preserve">on pyritty myös kirjoittamaan ohjeet. Tulokset tulevat "hiilijalanjälki" välilehdelle. </t>
  </si>
  <si>
    <t>Yleisohje:</t>
  </si>
  <si>
    <t>Vihreissä soluissa olevia arvoja voi muuttaa</t>
  </si>
  <si>
    <t>Tulokset näkyvät keltaisissa soluissa</t>
  </si>
  <si>
    <t>Muista syöttää tiedot oikeissa yksiköissä</t>
  </si>
  <si>
    <t>HUOM! Tämä taulukko ja kuvaaja täyttyy itsestään sitä mukaa, kun tietoja syötetään muihin välilehtiin</t>
  </si>
  <si>
    <t>Hiilijalanjälki muodostuu alla olevista kokonaisuuksista</t>
  </si>
  <si>
    <r>
      <t>kg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ekv</t>
    </r>
  </si>
  <si>
    <t>Tuotekohtaiset</t>
  </si>
  <si>
    <t>Vuotuinen sähkönkulutuksen aiheuttama kasvihuonekaasupäästö</t>
  </si>
  <si>
    <t>Sähkö</t>
  </si>
  <si>
    <r>
      <t>kg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ekv</t>
    </r>
  </si>
  <si>
    <t>Polttoaineiden kulutuksen aiheuttama kasvihuonekaasupäästö</t>
  </si>
  <si>
    <t>Polttoaineet</t>
  </si>
  <si>
    <t>Muut</t>
  </si>
  <si>
    <t>Hiilijalanjälki kokonaisuudessaan</t>
  </si>
  <si>
    <t>Ruoka</t>
  </si>
  <si>
    <r>
      <t>t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ekv</t>
    </r>
  </si>
  <si>
    <r>
      <t>t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ekv</t>
    </r>
  </si>
  <si>
    <t>Asiakaskäyntejä vuodessa</t>
  </si>
  <si>
    <t>Tarkasteltavat asiakaskäynnit</t>
  </si>
  <si>
    <t>Tuotekohtainen Hiilijalanjäki</t>
  </si>
  <si>
    <t>Vaikutusalue 3 on GHG-protokollan mukaan vapaaehtoinen rajaus.</t>
  </si>
  <si>
    <t xml:space="preserve">Tällä laskurilla tarkastellaan siihen sisältyvistä kasvihuonekaasulähteistä tärkeimpiä, kuten jätehuoltoa, liikematkustamista ja raaka-aineiden sekä tuotteiden kuljetuksia. </t>
  </si>
  <si>
    <t xml:space="preserve">Jätehuollossa ei ole mukana tuotteen käytöstä poistoa, koska laskenta halutaan pitää yksinkertaisena. </t>
  </si>
  <si>
    <t>Syötä vuotuinen sähkönkulutustieto alla olevan taulukon vihreään kenttään</t>
  </si>
  <si>
    <t>Sähkönkulutus (MWh/a)</t>
  </si>
  <si>
    <r>
      <t>CO</t>
    </r>
    <r>
      <rPr>
        <b/>
        <vertAlign val="subscript"/>
        <sz val="10"/>
        <color indexed="63"/>
        <rFont val="Arial"/>
        <family val="2"/>
      </rPr>
      <t>2</t>
    </r>
    <r>
      <rPr>
        <b/>
        <sz val="10"/>
        <color indexed="63"/>
        <rFont val="Arial"/>
        <family val="2"/>
      </rPr>
      <t>ekv 
(kg/MWh)</t>
    </r>
  </si>
  <si>
    <r>
      <t>Yhteensä 
kg CO</t>
    </r>
    <r>
      <rPr>
        <b/>
        <vertAlign val="subscript"/>
        <sz val="10"/>
        <color indexed="63"/>
        <rFont val="Arial"/>
        <family val="2"/>
      </rPr>
      <t>2</t>
    </r>
    <r>
      <rPr>
        <b/>
        <sz val="10"/>
        <color indexed="63"/>
        <rFont val="Arial"/>
        <family val="2"/>
      </rPr>
      <t>ekv</t>
    </r>
  </si>
  <si>
    <t>(Päivitetty 16.11.2017, Tilastokeskus)</t>
  </si>
  <si>
    <t>Sähkön tuotannon päästökertoimia</t>
  </si>
  <si>
    <t>Suur-Savon Sähkö</t>
  </si>
  <si>
    <t>g/kWh = kg/MWh</t>
  </si>
  <si>
    <t>(Päivitetty Heikki Tirkkonen sähköposti 18.3.2019 mukaiseksi)</t>
  </si>
  <si>
    <t>Savon Voima (oma tuotanto)</t>
  </si>
  <si>
    <t>(Päivitetty Juha P. Räsänen sähköposti 26.3.2019 mukaiseksi)</t>
  </si>
  <si>
    <t>Savon Voima (oma ja voimalaosuudet)</t>
  </si>
  <si>
    <t>Etelä-Savon Energia</t>
  </si>
  <si>
    <t>(Päivitetty Antti Koivuniemi sähköposti 28.6.2017 mukaiseksi)</t>
  </si>
  <si>
    <t>Vertailua muihin tuotantotapoihin (ei vaikuta laskentaan)</t>
  </si>
  <si>
    <t>Sähkötyyppi</t>
  </si>
  <si>
    <r>
      <t>CO</t>
    </r>
    <r>
      <rPr>
        <b/>
        <vertAlign val="subscript"/>
        <sz val="10"/>
        <color indexed="63"/>
        <rFont val="Arial"/>
        <family val="2"/>
      </rPr>
      <t>2</t>
    </r>
    <r>
      <rPr>
        <b/>
        <sz val="10"/>
        <color indexed="63"/>
        <rFont val="Arial"/>
        <family val="2"/>
      </rPr>
      <t xml:space="preserve">ekv 
(kg/MWh) </t>
    </r>
    <r>
      <rPr>
        <b/>
        <vertAlign val="superscript"/>
        <sz val="10"/>
        <color indexed="63"/>
        <rFont val="Arial"/>
        <family val="2"/>
      </rPr>
      <t>3</t>
    </r>
  </si>
  <si>
    <t>Sähkönkulutus 
(MWh/a)</t>
  </si>
  <si>
    <t>Kansallinen päästökerroin</t>
  </si>
  <si>
    <t>Aurinkosähkö</t>
  </si>
  <si>
    <t>Tuulivoima</t>
  </si>
  <si>
    <t>Vesivoima</t>
  </si>
  <si>
    <t>Ydinvoima</t>
  </si>
  <si>
    <t>huom: rajauksista riippuen uusiutuvat energiamuodot voidaan olettaan myös päästöttömiksi, tässä näkyvät kertoimet huomioivat laitosten rakentamisen ja ylläpidon vaikutukset</t>
  </si>
  <si>
    <t>Lähteet:</t>
  </si>
  <si>
    <t>http://www.motiva.fi/taustatietoa/energiankaytto_suomessa/co2-laskentaohje_energiankulutuksen_hiilidioksidipaastojen_laskentaan/co2-paastokertoimet</t>
  </si>
  <si>
    <r>
      <t>2</t>
    </r>
    <r>
      <rPr>
        <sz val="10"/>
        <rFont val="Arial"/>
      </rPr>
      <t xml:space="preserve"> GWP</t>
    </r>
    <r>
      <rPr>
        <vertAlign val="subscript"/>
        <sz val="10"/>
        <rFont val="Arial"/>
        <family val="2"/>
      </rPr>
      <t>100</t>
    </r>
    <r>
      <rPr>
        <sz val="10"/>
        <rFont val="Arial"/>
      </rPr>
      <t xml:space="preserve"> arvot IPCC. 2007. IPCC Fourth Assessment Report: Climate Change 2007, http://www.ipcc.ch/publications_and_data/ar4/wg1/en/ch2s2-10-2.html</t>
    </r>
  </si>
  <si>
    <r>
      <t>3</t>
    </r>
    <r>
      <rPr>
        <sz val="10"/>
        <rFont val="Arial"/>
      </rPr>
      <t xml:space="preserve"> ipcc annex III</t>
    </r>
  </si>
  <si>
    <t>Lämmöntuotannon aiheuttama polttoaineiden kulutus joko MJ:na tai kWh:na.</t>
  </si>
  <si>
    <t>MJ</t>
  </si>
  <si>
    <t>kWh</t>
  </si>
  <si>
    <t>Kulutettu 
lämpöenergia (MJ)</t>
  </si>
  <si>
    <t>Kulutettu 
lämpöenergia (kWh)</t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</si>
  <si>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
(kg/MJ) </t>
    </r>
    <r>
      <rPr>
        <b/>
        <vertAlign val="superscript"/>
        <sz val="10"/>
        <rFont val="Arial"/>
        <family val="2"/>
      </rPr>
      <t>1</t>
    </r>
  </si>
  <si>
    <r>
      <t>CH</t>
    </r>
    <r>
      <rPr>
        <b/>
        <vertAlign val="sub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
(kg/MJ) </t>
    </r>
    <r>
      <rPr>
        <b/>
        <vertAlign val="superscript"/>
        <sz val="10"/>
        <rFont val="Arial"/>
        <family val="2"/>
      </rPr>
      <t>2</t>
    </r>
  </si>
  <si>
    <r>
      <t>N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O 
(kg/MJ) </t>
    </r>
    <r>
      <rPr>
        <b/>
        <vertAlign val="superscript"/>
        <sz val="10"/>
        <rFont val="Arial"/>
        <family val="2"/>
      </rPr>
      <t>2</t>
    </r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</si>
  <si>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ekv 
(kg/MJ) </t>
    </r>
    <r>
      <rPr>
        <b/>
        <vertAlign val="superscript"/>
        <sz val="10"/>
        <rFont val="Arial"/>
        <family val="2"/>
      </rPr>
      <t>3</t>
    </r>
  </si>
  <si>
    <r>
      <t>Yhteensä 
kg CO</t>
    </r>
    <r>
      <rPr>
        <b/>
        <vertAlign val="subscript"/>
        <sz val="10"/>
        <rFont val="Arial"/>
        <family val="2"/>
      </rPr>
      <t>2</t>
    </r>
  </si>
  <si>
    <r>
      <t>Yhteensä
kg CH</t>
    </r>
    <r>
      <rPr>
        <b/>
        <vertAlign val="subscript"/>
        <sz val="10"/>
        <rFont val="Arial"/>
        <family val="2"/>
      </rPr>
      <t>4</t>
    </r>
  </si>
  <si>
    <r>
      <t>Yhteensä
kg N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</si>
  <si>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r>
      <t>Yhteensä
kg CO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ekv</t>
    </r>
  </si>
  <si>
    <t>Nestekaasu</t>
  </si>
  <si>
    <t>Moottoribensiini</t>
  </si>
  <si>
    <t>Dieselöljy</t>
  </si>
  <si>
    <t>Kevyt polttoöljy</t>
  </si>
  <si>
    <t>Raskas polttoöljy, rikkipit. &lt;1%</t>
  </si>
  <si>
    <t>Raskas polttoöljy, rikkipit. ≥1% </t>
  </si>
  <si>
    <t>Raskas polttoööljy, rikkipit.  ≤0,1%</t>
  </si>
  <si>
    <t>Raskas polttoöljy, rikkipit. ≤0,5 %</t>
  </si>
  <si>
    <t>Maakaasu</t>
  </si>
  <si>
    <t>Nesteytetty maakaasu (LNG)</t>
  </si>
  <si>
    <t>Jyrsinturve</t>
  </si>
  <si>
    <t>Palaturve</t>
  </si>
  <si>
    <t>Turvepelletit ja -briketit</t>
  </si>
  <si>
    <t>BIO merkinnällä olevat polttoaineet oletetaan hiilineutraaleiksi, niistä huomioidaan vain metaani ja typpioksiduuli päästöt</t>
  </si>
  <si>
    <t>Ruokohelpi BIO</t>
  </si>
  <si>
    <t>Viljakasvit ja olki BIO</t>
  </si>
  <si>
    <t>Kasviöljyt ja rasvat BIO</t>
  </si>
  <si>
    <t>Muut kasviperäiset polttoaineet BIO</t>
  </si>
  <si>
    <t>Lämmöntuotannon aiheuttama kasvihuonekaasupäästö (ei hiilineutraalit)</t>
  </si>
  <si>
    <r>
      <t>kg CO</t>
    </r>
    <r>
      <rPr>
        <b/>
        <vertAlign val="subscript"/>
        <sz val="10"/>
        <rFont val="Arial"/>
        <family val="2"/>
      </rPr>
      <t>2</t>
    </r>
  </si>
  <si>
    <r>
      <t>kg CH</t>
    </r>
    <r>
      <rPr>
        <b/>
        <vertAlign val="subscript"/>
        <sz val="10"/>
        <rFont val="Arial"/>
        <family val="2"/>
      </rPr>
      <t>4</t>
    </r>
  </si>
  <si>
    <r>
      <t>kg N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</si>
  <si>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r>
      <t>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ekv</t>
    </r>
  </si>
  <si>
    <t>Hiilineutraalien polttoaineiden muodostamat kasvihuonekaasupäästöt</t>
  </si>
  <si>
    <r>
      <t>kg CO</t>
    </r>
    <r>
      <rPr>
        <vertAlign val="subscript"/>
        <sz val="10"/>
        <rFont val="Arial"/>
        <family val="2"/>
      </rPr>
      <t>2</t>
    </r>
  </si>
  <si>
    <r>
      <t>kg CH</t>
    </r>
    <r>
      <rPr>
        <vertAlign val="subscript"/>
        <sz val="10"/>
        <rFont val="Arial"/>
        <family val="2"/>
      </rPr>
      <t>4</t>
    </r>
  </si>
  <si>
    <r>
      <t>kg 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</si>
  <si>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Hiilineutraalien polttoaineiden aiheuttama N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O- ja CH</t>
    </r>
    <r>
      <rPr>
        <b/>
        <vertAlign val="subscript"/>
        <sz val="10"/>
        <rFont val="Arial"/>
        <family val="2"/>
      </rPr>
      <t>4</t>
    </r>
    <r>
      <rPr>
        <b/>
        <sz val="10"/>
        <rFont val="Arial"/>
        <family val="2"/>
      </rPr>
      <t>-päästö</t>
    </r>
  </si>
  <si>
    <t>Muuntokertoimia</t>
  </si>
  <si>
    <t>1 MJ=</t>
  </si>
  <si>
    <t>1 kWh=</t>
  </si>
  <si>
    <t>Alla olevaa taulukkoa voi käyttää yksiköiden muuntamiseen</t>
  </si>
  <si>
    <t>http://www.motiva.fi/files/3193/Polttoaineiden_lampoarvot_hyotysuhteet_ja_hiilidioksidin_ominaispaastokertoimet_seka_energianhinnat_19042010.pdf</t>
  </si>
  <si>
    <t>kosteus</t>
  </si>
  <si>
    <t>Määrä</t>
  </si>
  <si>
    <t>Energia / kWh</t>
  </si>
  <si>
    <t>kWh/litra</t>
  </si>
  <si>
    <t>Litraa</t>
  </si>
  <si>
    <t>Nestekaasut</t>
  </si>
  <si>
    <t>kWh/kg</t>
  </si>
  <si>
    <t>Kiloa</t>
  </si>
  <si>
    <t>Raskas polttoöljy</t>
  </si>
  <si>
    <t>kWh/m3</t>
  </si>
  <si>
    <t>Kuutiota</t>
  </si>
  <si>
    <t>Biokaasu</t>
  </si>
  <si>
    <t>Kivihiili</t>
  </si>
  <si>
    <t>Puupelletit</t>
  </si>
  <si>
    <t>Polttohake</t>
  </si>
  <si>
    <t>kWh/irto-m3</t>
  </si>
  <si>
    <t>Irto-kuutiota</t>
  </si>
  <si>
    <t>Pilkkeet (havu- ja sekapuu)</t>
  </si>
  <si>
    <t>kWh/pino-m3</t>
  </si>
  <si>
    <t>Pino-kuutiota</t>
  </si>
  <si>
    <t>Pilkkeet (koivu)</t>
  </si>
  <si>
    <t>Ruokohelpi</t>
  </si>
  <si>
    <t>Kaura</t>
  </si>
  <si>
    <t>Olki</t>
  </si>
  <si>
    <t>Irto-m3</t>
  </si>
  <si>
    <t>Pino-m3</t>
  </si>
  <si>
    <t>Kiinto-m3</t>
  </si>
  <si>
    <t>Irtokuutiometri, pilke (33cm)</t>
  </si>
  <si>
    <t>Pinokuutiometri, pilke (33cm)</t>
  </si>
  <si>
    <t>Pinokuutiometri, halko (100 cm)</t>
  </si>
  <si>
    <t>Kiintokuutiometri</t>
  </si>
  <si>
    <r>
      <t>1</t>
    </r>
    <r>
      <rPr>
        <sz val="10"/>
        <rFont val="Arial"/>
      </rPr>
      <t xml:space="preserve"> Tilastokeskus. 2011. Polttoaineluokitus 2011. http://tilastokeskus.fi/tup/khkinv/khkaasut_polttoaineluokitus_2011.xls</t>
    </r>
  </si>
  <si>
    <r>
      <t>2</t>
    </r>
    <r>
      <rPr>
        <sz val="10"/>
        <rFont val="Arial"/>
      </rPr>
      <t xml:space="preserve"> VTT.2006. Dityppioksidin (N2O) ja metaanin (CH4) päästökertoimia Suomen voimalaitoksille, lämpökeskuksille ja pienpoltolle. </t>
    </r>
  </si>
  <si>
    <r>
      <t>3</t>
    </r>
    <r>
      <rPr>
        <sz val="10"/>
        <rFont val="Arial"/>
      </rPr>
      <t xml:space="preserve"> GWP</t>
    </r>
    <r>
      <rPr>
        <vertAlign val="subscript"/>
        <sz val="10"/>
        <rFont val="Arial"/>
        <family val="2"/>
      </rPr>
      <t>100</t>
    </r>
    <r>
      <rPr>
        <sz val="10"/>
        <rFont val="Arial"/>
      </rPr>
      <t xml:space="preserve"> arvot IPCC. 2007. IPCC Fourth Assessment Report: Climate Change 2007, http://www.ipcc.ch/publications_and_data/ar4/wg1/en/ch2s2-10-2.html</t>
    </r>
  </si>
  <si>
    <t>Kulkuneuvojen päästöt tonnikilometrien mukaan</t>
  </si>
  <si>
    <t>Tonnikilometrit tulee laskea jokaisesta kuljetuksesta erikseen: kuljetuksen paino (t) x kuljetuksen pituus (km) = kuljetuksen tkm</t>
  </si>
  <si>
    <t>Maantiekuljetus</t>
  </si>
  <si>
    <t>Yhteensä tkm (t x km)</t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</si>
  <si>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ekv</t>
    </r>
    <r>
      <rPr>
        <b/>
        <vertAlign val="subscript"/>
        <sz val="10"/>
        <rFont val="Arial"/>
        <family val="2"/>
      </rPr>
      <t>täysi</t>
    </r>
    <r>
      <rPr>
        <b/>
        <sz val="10"/>
        <rFont val="Arial"/>
        <family val="2"/>
      </rPr>
      <t xml:space="preserve"> (kg/tkm) </t>
    </r>
    <r>
      <rPr>
        <b/>
        <vertAlign val="superscript"/>
        <sz val="10"/>
        <rFont val="Arial"/>
        <family val="2"/>
      </rPr>
      <t>1</t>
    </r>
  </si>
  <si>
    <r>
      <t>Yht. 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ekv </t>
    </r>
  </si>
  <si>
    <t>Pakettiauto *</t>
  </si>
  <si>
    <t>Jakelukuorma-auto (6t) *</t>
  </si>
  <si>
    <t>Jakelukuorma-auto (15t) *</t>
  </si>
  <si>
    <t>Puoliperävaunuyhdistelmät *</t>
  </si>
  <si>
    <t>Perävaunullinen yhdistelmä *</t>
  </si>
  <si>
    <t>Maantiekuljetuksista aiheutuneet kasvihuonekaasupäästöt yhteensä</t>
  </si>
  <si>
    <t>Kulkuneuvojen päästöt ajettujen kilometrien mukaan</t>
  </si>
  <si>
    <t>Työtehtäviin liittyvä ajo (ei työmatkat)</t>
  </si>
  <si>
    <t>Kilometrit / vuosi</t>
  </si>
  <si>
    <t>Päästöt g CO2/km</t>
  </si>
  <si>
    <t>Laskuri ajokilometrien arvioimista varten</t>
  </si>
  <si>
    <t>Auto 1</t>
  </si>
  <si>
    <t>Sesongin pituus</t>
  </si>
  <si>
    <t>kk</t>
  </si>
  <si>
    <t>Auto 2</t>
  </si>
  <si>
    <t>päivää</t>
  </si>
  <si>
    <t>Auto 3</t>
  </si>
  <si>
    <t>Auto 4</t>
  </si>
  <si>
    <t>Ajoa keskimäärin</t>
  </si>
  <si>
    <t>km</t>
  </si>
  <si>
    <t>päivän välein</t>
  </si>
  <si>
    <t>Autolla ajosta syntyvät päästöt yhteensä</t>
  </si>
  <si>
    <t>Laivakuljetukset</t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</si>
  <si>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ekv</t>
    </r>
    <r>
      <rPr>
        <b/>
        <sz val="10"/>
        <rFont val="Arial"/>
        <family val="2"/>
      </rPr>
      <t xml:space="preserve"> (kg/tkm) </t>
    </r>
    <r>
      <rPr>
        <b/>
        <vertAlign val="superscript"/>
        <sz val="10"/>
        <rFont val="Arial"/>
        <family val="2"/>
      </rPr>
      <t>1</t>
    </r>
  </si>
  <si>
    <t>Konttialus</t>
  </si>
  <si>
    <t>Rautatiekuljetukset</t>
  </si>
  <si>
    <t>Tavarajunat keskimäärin, diesel</t>
  </si>
  <si>
    <t>Tavarajunat keskimäärin, sähkö</t>
  </si>
  <si>
    <t>Rautatiekuljetuksista aiheutuneet kasvihuonekaasupäästöt yhteensä</t>
  </si>
  <si>
    <t>Ilmakuljetukset</t>
  </si>
  <si>
    <t>Kotimaanlennot</t>
  </si>
  <si>
    <t>Lyhyet ulkomaanlennot</t>
  </si>
  <si>
    <t>Kaukolennot</t>
  </si>
  <si>
    <t>Ilmakuljetuksista aiheutuneet kasvihuonekaasupäästöt yhteensä</t>
  </si>
  <si>
    <t>Ajo sesongin aikana</t>
  </si>
  <si>
    <t>Kuljetusten / työajojen päästöt yhteensä</t>
  </si>
  <si>
    <t>Lannoitteiden käytöstä aiheutuvat päästöt</t>
  </si>
  <si>
    <t>kg / vuodessa</t>
  </si>
  <si>
    <t>kesk. kg CO2ekv</t>
  </si>
  <si>
    <t>Lannoite A</t>
  </si>
  <si>
    <t>Lannoite B</t>
  </si>
  <si>
    <t>Lannoituksen päästöt yhteensä</t>
  </si>
  <si>
    <t>http://www.yara.fi/images/Carbon_footprint_2012_FI_120214_tcm431-122977.pdf</t>
  </si>
  <si>
    <t>Kaatopaikkajätteen päästöt</t>
  </si>
  <si>
    <t>t/a</t>
  </si>
  <si>
    <r>
      <t>CO</t>
    </r>
    <r>
      <rPr>
        <b/>
        <vertAlign val="subscript"/>
        <sz val="10"/>
        <rFont val="Arial"/>
        <family val="2"/>
      </rPr>
      <t>2 bio</t>
    </r>
    <r>
      <rPr>
        <b/>
        <sz val="10"/>
        <rFont val="Arial"/>
        <family val="2"/>
      </rPr>
      <t xml:space="preserve"> (kg/t) </t>
    </r>
    <r>
      <rPr>
        <b/>
        <vertAlign val="superscript"/>
        <sz val="10"/>
        <rFont val="Arial"/>
        <family val="2"/>
      </rPr>
      <t>1</t>
    </r>
  </si>
  <si>
    <r>
      <t>CO</t>
    </r>
    <r>
      <rPr>
        <b/>
        <vertAlign val="subscript"/>
        <sz val="10"/>
        <rFont val="Arial"/>
        <family val="2"/>
      </rPr>
      <t>2 koneet</t>
    </r>
    <r>
      <rPr>
        <b/>
        <sz val="10"/>
        <rFont val="Arial"/>
        <family val="2"/>
      </rPr>
      <t xml:space="preserve"> (kg/t) </t>
    </r>
    <r>
      <rPr>
        <b/>
        <vertAlign val="superscript"/>
        <sz val="10"/>
        <rFont val="Arial"/>
        <family val="2"/>
      </rPr>
      <t>1</t>
    </r>
  </si>
  <si>
    <r>
      <t>CH</t>
    </r>
    <r>
      <rPr>
        <b/>
        <vertAlign val="sub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(kg/t) </t>
    </r>
    <r>
      <rPr>
        <b/>
        <vertAlign val="superscript"/>
        <sz val="10"/>
        <rFont val="Arial"/>
        <family val="2"/>
      </rPr>
      <t>1</t>
    </r>
  </si>
  <si>
    <r>
      <t>N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0 (kg/t) </t>
    </r>
    <r>
      <rPr>
        <b/>
        <vertAlign val="superscript"/>
        <sz val="10"/>
        <rFont val="Arial"/>
        <family val="2"/>
      </rPr>
      <t>1</t>
    </r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</si>
  <si>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ekv (kg/t) </t>
    </r>
    <r>
      <rPr>
        <b/>
        <vertAlign val="superscript"/>
        <sz val="10"/>
        <rFont val="Arial"/>
        <family val="2"/>
      </rPr>
      <t>2</t>
    </r>
  </si>
  <si>
    <r>
      <t>Yht. 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ekv</t>
    </r>
  </si>
  <si>
    <r>
      <t>Yht. CO</t>
    </r>
    <r>
      <rPr>
        <b/>
        <vertAlign val="subscript"/>
        <sz val="10"/>
        <rFont val="Arial"/>
        <family val="2"/>
      </rPr>
      <t>2 bio</t>
    </r>
  </si>
  <si>
    <r>
      <t>Yht. CO</t>
    </r>
    <r>
      <rPr>
        <b/>
        <vertAlign val="subscript"/>
        <sz val="10"/>
        <rFont val="Arial"/>
        <family val="2"/>
      </rPr>
      <t>2 koneet</t>
    </r>
  </si>
  <si>
    <r>
      <t>Yht. CH</t>
    </r>
    <r>
      <rPr>
        <b/>
        <vertAlign val="subscript"/>
        <sz val="10"/>
        <rFont val="Arial"/>
        <family val="2"/>
      </rPr>
      <t>4</t>
    </r>
  </si>
  <si>
    <t>Kaatopaikalle toimitettava kuivajäte *</t>
  </si>
  <si>
    <t>Jatkokäsittelyyn toimitettava biojäte **</t>
  </si>
  <si>
    <t>Jätehuollosta aiheutuva kasvihuonekaasupäästö kokonaisuudessaan</t>
  </si>
  <si>
    <r>
      <t>Yht. N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0</t>
    </r>
  </si>
  <si>
    <t>Jäteastioiden tyhjennyskertojen määrä, keskimääräinen paino ja jätteiden keskimääräiset kuljetuskilometrit</t>
  </si>
  <si>
    <t>tyhjennyksiä/a</t>
  </si>
  <si>
    <t>kg/tyhjennys</t>
  </si>
  <si>
    <t>km/tyhjennys</t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</si>
  <si>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ekv 
(kg/tkm) </t>
    </r>
    <r>
      <rPr>
        <b/>
        <vertAlign val="superscript"/>
        <sz val="10"/>
        <rFont val="Arial"/>
        <family val="2"/>
      </rPr>
      <t>3</t>
    </r>
  </si>
  <si>
    <r>
      <t>tkm yht.</t>
    </r>
    <r>
      <rPr>
        <sz val="10"/>
        <rFont val="Arial"/>
      </rPr>
      <t xml:space="preserve"> </t>
    </r>
  </si>
  <si>
    <r>
      <t xml:space="preserve">Kuivajätteen kuljetus </t>
    </r>
    <r>
      <rPr>
        <sz val="10"/>
        <rFont val="Arial"/>
        <family val="2"/>
      </rPr>
      <t>***</t>
    </r>
  </si>
  <si>
    <t>Biojätteen kuljetus ***</t>
  </si>
  <si>
    <t>Jätteiden kuljetuksen aiheuttama kasvihuonekaasupäästö</t>
  </si>
  <si>
    <t>Jätehuollosta muodostuu yhteensä kasvihuonekaasuja</t>
  </si>
  <si>
    <t>Oletukset:</t>
  </si>
  <si>
    <t>* Kuivajätteen joukossa 5 % biojätettä</t>
  </si>
  <si>
    <t>** Biojäte kompostoidaan</t>
  </si>
  <si>
    <r>
      <t>1</t>
    </r>
    <r>
      <rPr>
        <sz val="10"/>
        <rFont val="Arial"/>
      </rPr>
      <t xml:space="preserve"> Myllymaa et al. 2008. Jätteiden kierrätyksen ja polton käsittelyketjujen ympäristökuormitus ja kustannukset. S. 26 ja 61. http://www.ymparisto.fi/download.asp?contentid=92262</t>
    </r>
  </si>
  <si>
    <r>
      <t>2</t>
    </r>
    <r>
      <rPr>
        <sz val="10"/>
        <rFont val="Arial"/>
      </rPr>
      <t xml:space="preserve"> GWP</t>
    </r>
    <r>
      <rPr>
        <vertAlign val="subscript"/>
        <sz val="10"/>
        <rFont val="Arial"/>
        <family val="2"/>
      </rPr>
      <t xml:space="preserve">100 </t>
    </r>
    <r>
      <rPr>
        <sz val="10"/>
        <rFont val="Arial"/>
      </rPr>
      <t>arvot IPCC. 2007. IPCC Fourth Assessment Report: Climate Change 2007, http://www.ipcc.ch/publications_and_data/ar4/wg1/en/ch2s2-10-2.html</t>
    </r>
  </si>
  <si>
    <t>Aterian / ruokailun aiheuttamat CO2 päästöt (eivät sisälly hiilijalanjäljen laskentaan)</t>
  </si>
  <si>
    <t>Voit käyttää alla olevia taulukoita jos haluat arvioida yksittäisen aterian energiankulutusta.</t>
  </si>
  <si>
    <t>Sähkönkulutus</t>
  </si>
  <si>
    <t>Valmistettava ruoka (kg)</t>
  </si>
  <si>
    <t>CO2 ekv</t>
  </si>
  <si>
    <t>(MAMK ekotehokas ammattikeittiö)</t>
  </si>
  <si>
    <t>Yhdistelmäuuni</t>
  </si>
  <si>
    <t xml:space="preserve">kWh/kg </t>
  </si>
  <si>
    <t>Induktio</t>
  </si>
  <si>
    <t>Paistinpannu</t>
  </si>
  <si>
    <t>Hiilijalanjäki kg CO2 ekv.</t>
  </si>
  <si>
    <t xml:space="preserve">Tiskikone </t>
  </si>
  <si>
    <t>Pesujen määrä</t>
  </si>
  <si>
    <t>Asiakkaiden määrä</t>
  </si>
  <si>
    <t>60cm lattiakone (12-14 astiastoa)</t>
  </si>
  <si>
    <t>kWh/pesu</t>
  </si>
  <si>
    <t>Hiilijalanjälki asiakasta kohti</t>
  </si>
  <si>
    <t>45cm lattiakone (8 astiastoa)</t>
  </si>
  <si>
    <t>Hiilijalanjälki koko aterialle</t>
  </si>
  <si>
    <t>Pyötäkone (4-6 astiastoa)</t>
  </si>
  <si>
    <t>Ruuan valmistuksen ja aterioinnin energiankulutuksen hiilijalanjälki</t>
  </si>
  <si>
    <t>Raaka-aineiden hiilijalanjälki yhteensä</t>
  </si>
  <si>
    <t>Hedelmät</t>
  </si>
  <si>
    <t>Juurekset</t>
  </si>
  <si>
    <t>Vihannekset</t>
  </si>
  <si>
    <t>Kalat</t>
  </si>
  <si>
    <t>Äyriäiset</t>
  </si>
  <si>
    <t>Liha ja riista</t>
  </si>
  <si>
    <t>Lintu</t>
  </si>
  <si>
    <t>Makkarat</t>
  </si>
  <si>
    <t>Meijerituotteet</t>
  </si>
  <si>
    <t>Kastikkeet, liemet…</t>
  </si>
  <si>
    <t>Mausteet</t>
  </si>
  <si>
    <t>Yhteensä</t>
  </si>
  <si>
    <t>RAAKA-AINEET TÄYTETÄÄN ALLA OLVEVIIN TAULUKOIHIN GRAMMOINA</t>
  </si>
  <si>
    <t>Raaka-aine</t>
  </si>
  <si>
    <t>kgCO2 / 1000g</t>
  </si>
  <si>
    <t>Määrä [g]</t>
  </si>
  <si>
    <t>kg CO2 ekv</t>
  </si>
  <si>
    <t>Liha, riista ja jauheliha</t>
  </si>
  <si>
    <t>Muut raaka-aineet</t>
  </si>
  <si>
    <t>Aprikoosi</t>
  </si>
  <si>
    <t>Juuriselleri, tuore</t>
  </si>
  <si>
    <t>Haimonni (pangasius), tuore</t>
  </si>
  <si>
    <t>Hirvi, peura, riista, raaka</t>
  </si>
  <si>
    <t>Becel Ruoka 15%</t>
  </si>
  <si>
    <t>Ananas mehussa, säilötty</t>
  </si>
  <si>
    <t>Ananas (kokonainen)</t>
  </si>
  <si>
    <t>Kyssäkaali</t>
  </si>
  <si>
    <t>Hoki, tuore</t>
  </si>
  <si>
    <t>Jauhelihapihvi 100% nauta</t>
  </si>
  <si>
    <t>Creme Bonjour</t>
  </si>
  <si>
    <t>Auringonkukansiemen</t>
  </si>
  <si>
    <t>Appelsiini</t>
  </si>
  <si>
    <t>Palsternakka, tuore</t>
  </si>
  <si>
    <t>Kuha</t>
  </si>
  <si>
    <t>Jauhettu kinkku</t>
  </si>
  <si>
    <t>Creme Fraiche</t>
  </si>
  <si>
    <t>Bulguri</t>
  </si>
  <si>
    <t>Banaani</t>
  </si>
  <si>
    <t>Peruna, kuorittu</t>
  </si>
  <si>
    <t>Kuha, tuore</t>
  </si>
  <si>
    <t>Lammas</t>
  </si>
  <si>
    <t>Flora Aromiöljy</t>
  </si>
  <si>
    <t>Chilikastike</t>
  </si>
  <si>
    <t>Granaattiomena</t>
  </si>
  <si>
    <t>Peruna, raaka kuorimaton</t>
  </si>
  <si>
    <t>Lohi, pakaste</t>
  </si>
  <si>
    <t>Lihapullat</t>
  </si>
  <si>
    <t>Flora Juokseva kasviöljyvalmiste</t>
  </si>
  <si>
    <t>Couscous</t>
  </si>
  <si>
    <t>Karviainen</t>
  </si>
  <si>
    <t>Porkkana, tuore</t>
  </si>
  <si>
    <t>Lohi, tuore</t>
  </si>
  <si>
    <t>Naudanjauheliha, kypsä</t>
  </si>
  <si>
    <t>Garde d'Or Juustocreme</t>
  </si>
  <si>
    <t>Kaurapuuro (valmis)</t>
  </si>
  <si>
    <t>Kiivi Mandariini</t>
  </si>
  <si>
    <t>Punajuuri, tuore</t>
  </si>
  <si>
    <t>Makrilli, tuore</t>
  </si>
  <si>
    <t>Naudanjauheliha raaka</t>
  </si>
  <si>
    <t>Jugurtti</t>
  </si>
  <si>
    <t>Kaurahiutale (Elovena)</t>
  </si>
  <si>
    <t>Mandariini</t>
  </si>
  <si>
    <t>Nieriä, tuore</t>
  </si>
  <si>
    <t>Naudanliha, kypsä</t>
  </si>
  <si>
    <t>Juusto, kova</t>
  </si>
  <si>
    <t>Kahvi *</t>
  </si>
  <si>
    <t>Mango</t>
  </si>
  <si>
    <t>Punakampela, pakaste</t>
  </si>
  <si>
    <t>Naudanliha, raaka</t>
  </si>
  <si>
    <t>Juusto, pehmeä</t>
  </si>
  <si>
    <t>Tuoremehu (tropicana)</t>
  </si>
  <si>
    <t>Mansikka, kotimainen</t>
  </si>
  <si>
    <t>Punakampela, tuore</t>
  </si>
  <si>
    <t>Pannupihvi (jauhettu pihvi)</t>
  </si>
  <si>
    <t>Kananmuna</t>
  </si>
  <si>
    <t>Kikherneet, kuivatut tai säilyke</t>
  </si>
  <si>
    <t>Omena, kotimainen</t>
  </si>
  <si>
    <t>Basilika, tuore</t>
  </si>
  <si>
    <t>Ruijanpallas, tuore</t>
  </si>
  <si>
    <t>Poro</t>
  </si>
  <si>
    <t>Kerma</t>
  </si>
  <si>
    <t>KNORR Lasagnette, täysjyvä</t>
  </si>
  <si>
    <t xml:space="preserve">Mustikka kotimainen </t>
  </si>
  <si>
    <t>Fenkoli, tuore</t>
  </si>
  <si>
    <t>Sei, tuore</t>
  </si>
  <si>
    <t>Saksanhirvi</t>
  </si>
  <si>
    <t>Kermaviili</t>
  </si>
  <si>
    <t>KNORR Tomatino</t>
  </si>
  <si>
    <t>Papaya</t>
  </si>
  <si>
    <t>Herkkusienet, tuore</t>
  </si>
  <si>
    <t>Silakka</t>
  </si>
  <si>
    <t>Sika-nautajauheliha 50% / 50%</t>
  </si>
  <si>
    <t>KNORR Fraiche</t>
  </si>
  <si>
    <t>Kokojyvävehnä</t>
  </si>
  <si>
    <t>Passionhedelmä</t>
  </si>
  <si>
    <t>Herneet, keltaiset</t>
  </si>
  <si>
    <t>Silli, tuore</t>
  </si>
  <si>
    <t>Sianliha, raaka</t>
  </si>
  <si>
    <t>KNORR Kuohu 31 %</t>
  </si>
  <si>
    <t>Kookosmaito</t>
  </si>
  <si>
    <t>Päärynä</t>
  </si>
  <si>
    <t>Herneet, vihreät</t>
  </si>
  <si>
    <t>Tonnikala, pakaste</t>
  </si>
  <si>
    <t>Sika-nautajauheliha, raaka 70% nauta 30 % sika</t>
  </si>
  <si>
    <t>KNORR ruoka 15%</t>
  </si>
  <si>
    <t>Kvinoa</t>
  </si>
  <si>
    <t xml:space="preserve">Sitruuna </t>
  </si>
  <si>
    <t>Jäävuorisalaatti, tuore, avomaalla kasvanut</t>
  </si>
  <si>
    <t>Tonnikala, tuore</t>
  </si>
  <si>
    <t>Maito</t>
  </si>
  <si>
    <t>Linssit, vihreä, kuivatut</t>
  </si>
  <si>
    <t>Vadelma, kotimainen</t>
  </si>
  <si>
    <t>Kaali</t>
  </si>
  <si>
    <t>Turska, kummelituska, tuore</t>
  </si>
  <si>
    <t>Margariini 80%, ruuanlaitto ja leivonta</t>
  </si>
  <si>
    <t>Maizena Maissitärkkelys</t>
  </si>
  <si>
    <t>Viinirypäleet</t>
  </si>
  <si>
    <t>Keltasipuli, tuore</t>
  </si>
  <si>
    <t>Valkoturska, tuore</t>
  </si>
  <si>
    <t>Kalkkuna, raaka</t>
  </si>
  <si>
    <t>Raejuusto</t>
  </si>
  <si>
    <t>Nachot</t>
  </si>
  <si>
    <t>Kesäkurpitsa, tuore</t>
  </si>
  <si>
    <t>Kana, kypsä</t>
  </si>
  <si>
    <t>Voi</t>
  </si>
  <si>
    <t>Näkkileipä</t>
  </si>
  <si>
    <t>Kiinankaali, tuore</t>
  </si>
  <si>
    <t>Kana, raaka</t>
  </si>
  <si>
    <t>Ohrasuurimo</t>
  </si>
  <si>
    <t>Kastikkeet, liemet ja fondit</t>
  </si>
  <si>
    <t>Kukkakaali, tuore</t>
  </si>
  <si>
    <t>Hummeri</t>
  </si>
  <si>
    <t>Kananliha,  jauhettu</t>
  </si>
  <si>
    <t>Oliiviöljy</t>
  </si>
  <si>
    <t>Kalaliemi, itse valmistettu</t>
  </si>
  <si>
    <t>Kurkku, tuore</t>
  </si>
  <si>
    <t>Jokirapu, kuorittu, pakaste</t>
  </si>
  <si>
    <t>Pasta</t>
  </si>
  <si>
    <t>Kalaliemi, vähäsuolainen</t>
  </si>
  <si>
    <t>Katkarapu, tuore</t>
  </si>
  <si>
    <t>Pavut, punainen, kuivattu tai säilyke</t>
  </si>
  <si>
    <t>Kanaliemi, itse valmistettu</t>
  </si>
  <si>
    <t>Maissi</t>
  </si>
  <si>
    <t>Katkarapu, kuorittu, pakaste</t>
  </si>
  <si>
    <t>Broilerimakkara</t>
  </si>
  <si>
    <t>Perunajauho</t>
  </si>
  <si>
    <t>Kasvisliemi, itse valmistettu</t>
  </si>
  <si>
    <t>Maissi, pakaste</t>
  </si>
  <si>
    <t>Raputikut</t>
  </si>
  <si>
    <t>Puolukka, tuoresurvos</t>
  </si>
  <si>
    <t>KNORR Blolognesekastike</t>
  </si>
  <si>
    <t>Munakoiso</t>
  </si>
  <si>
    <t>Simpukat</t>
  </si>
  <si>
    <t>Porsaanniska</t>
  </si>
  <si>
    <t>Rapsiöljy</t>
  </si>
  <si>
    <t>KNORR Kalafondi</t>
  </si>
  <si>
    <t>Osterivinokas, tuore</t>
  </si>
  <si>
    <t>Taskurapu</t>
  </si>
  <si>
    <t>Ryynimakkara</t>
  </si>
  <si>
    <t>Riisi, pitkäjyväinen</t>
  </si>
  <si>
    <t>KNORR Kermakastike</t>
  </si>
  <si>
    <t>Palsternakka</t>
  </si>
  <si>
    <t>Risottoriisi</t>
  </si>
  <si>
    <t>KNORR Kasvisliemi</t>
  </si>
  <si>
    <t>Paprika, tuore</t>
  </si>
  <si>
    <t>Ruisleipä</t>
  </si>
  <si>
    <t>KNORR Kanaliemi</t>
  </si>
  <si>
    <t>Parsakaali, tuore</t>
  </si>
  <si>
    <t>Rusinat</t>
  </si>
  <si>
    <t>KNORR Lasagnekatike</t>
  </si>
  <si>
    <t>Pavut, tuore</t>
  </si>
  <si>
    <t>Sinappi</t>
  </si>
  <si>
    <t>KNORR Lemonekastike</t>
  </si>
  <si>
    <t>Persilja, tuore</t>
  </si>
  <si>
    <t>Sokeri</t>
  </si>
  <si>
    <t>KNORR Metsäsienikastike</t>
  </si>
  <si>
    <t>Peruna</t>
  </si>
  <si>
    <t>Täysjyväpasta</t>
  </si>
  <si>
    <t>Vasikkafondi, itse valmistettu</t>
  </si>
  <si>
    <t>Porkkana</t>
  </si>
  <si>
    <t>Vaalea leipä</t>
  </si>
  <si>
    <t>Tomaattikastike, itse valmistettu</t>
  </si>
  <si>
    <t>Punajuuri</t>
  </si>
  <si>
    <t>Vehnäjauho</t>
  </si>
  <si>
    <t>Lihaliemi, vähäsuollainen</t>
  </si>
  <si>
    <t>Punasipuli, tuore</t>
  </si>
  <si>
    <t>Viinietikka</t>
  </si>
  <si>
    <t>Lihaliemi, Luomu</t>
  </si>
  <si>
    <t>Purjosipuli, tuore</t>
  </si>
  <si>
    <t>KNORR Vasikkafondi</t>
  </si>
  <si>
    <t>Salottisipuli, tuore</t>
  </si>
  <si>
    <t>KNORR Vaalea peruskastike</t>
  </si>
  <si>
    <t>Savoijinkaali, tuore</t>
  </si>
  <si>
    <t>KNORR Tomaattikastike</t>
  </si>
  <si>
    <t>Selleri</t>
  </si>
  <si>
    <t>KNORR Sky Paistinkastike (tahna)</t>
  </si>
  <si>
    <t>KNORR Sipulifondi</t>
  </si>
  <si>
    <t>Tilli, tuore</t>
  </si>
  <si>
    <t>KNORR Ruskea peruskastike</t>
  </si>
  <si>
    <t>Tomaatti, avomaalli kasvanut</t>
  </si>
  <si>
    <t>KNOWW Papriganokastike</t>
  </si>
  <si>
    <t>Tomaatti, kasvihuoneessa kasvanut</t>
  </si>
  <si>
    <t>Tomaattimurska, säilyke</t>
  </si>
  <si>
    <t>Mausteet / salaattikastikkeet</t>
  </si>
  <si>
    <t>Valkokaali, tuore</t>
  </si>
  <si>
    <t>Hellmann's Sitruunavinegretti</t>
  </si>
  <si>
    <t>Valkosipuli, tuore</t>
  </si>
  <si>
    <t>KNORR Paprika Puré Professional</t>
  </si>
  <si>
    <t>KNORR Provence tahnamauste</t>
  </si>
  <si>
    <t>* http://www.arvidnordquist.fi/kahvi/vastuullisuus/100-klimatkompenserat/</t>
  </si>
  <si>
    <t>Kuljetukset:</t>
  </si>
  <si>
    <t>Kulkuneuvo</t>
  </si>
  <si>
    <r>
      <t>Päästökerroin
(kg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-ekv.)</t>
    </r>
  </si>
  <si>
    <t>Yksikkö</t>
  </si>
  <si>
    <t>Vuosi</t>
  </si>
  <si>
    <t>Lähde</t>
  </si>
  <si>
    <t>Sijainti:</t>
  </si>
  <si>
    <t>kg/tkm</t>
  </si>
  <si>
    <r>
      <t>LIPASTO</t>
    </r>
    <r>
      <rPr>
        <vertAlign val="superscript"/>
        <sz val="10"/>
        <rFont val="Arial"/>
        <family val="2"/>
      </rPr>
      <t xml:space="preserve"> 1</t>
    </r>
  </si>
  <si>
    <t>Suomi</t>
  </si>
  <si>
    <t xml:space="preserve">kg/tkm </t>
  </si>
  <si>
    <r>
      <t xml:space="preserve">LIPASTO </t>
    </r>
    <r>
      <rPr>
        <vertAlign val="superscript"/>
        <sz val="10"/>
        <rFont val="Arial"/>
        <family val="2"/>
      </rPr>
      <t>1</t>
    </r>
  </si>
  <si>
    <t>Konttialus **</t>
  </si>
  <si>
    <t>Liikematkustaminen:</t>
  </si>
  <si>
    <t>Kulkuväline</t>
  </si>
  <si>
    <t>g/hkm</t>
  </si>
  <si>
    <t>Kotimaa, pitkät lennot
&gt; 463 km ***</t>
  </si>
  <si>
    <t>Eurooppa, pitkät lennot
&gt; 463 km ****</t>
  </si>
  <si>
    <t>Henkilöautolla ajetut 
km:t (diesel) #</t>
  </si>
  <si>
    <t>Henkilöautolla ajetut 
km:t (bensiini) #</t>
  </si>
  <si>
    <t>Bussi km:t ##</t>
  </si>
  <si>
    <t>Juna km:t ###</t>
  </si>
  <si>
    <t>Taksi km:t (bensa) #</t>
  </si>
  <si>
    <t>Hotelliyöpymiset ####</t>
  </si>
  <si>
    <t>kg/€</t>
  </si>
  <si>
    <r>
      <t xml:space="preserve">Seppälä et al. </t>
    </r>
    <r>
      <rPr>
        <vertAlign val="superscript"/>
        <sz val="10"/>
        <rFont val="Arial"/>
        <family val="2"/>
      </rPr>
      <t>2</t>
    </r>
  </si>
  <si>
    <t>Energiankulutus ja -tuotanto:</t>
  </si>
  <si>
    <t>Energia</t>
  </si>
  <si>
    <t>kg/MJ</t>
  </si>
  <si>
    <r>
      <t xml:space="preserve">Tilastokeskus </t>
    </r>
    <r>
      <rPr>
        <vertAlign val="superscript"/>
        <sz val="10"/>
        <rFont val="Arial"/>
        <family val="2"/>
      </rPr>
      <t xml:space="preserve">3
</t>
    </r>
    <r>
      <rPr>
        <sz val="10"/>
        <rFont val="Arial"/>
        <family val="2"/>
      </rPr>
      <t/>
    </r>
  </si>
  <si>
    <t>Raskas polttoöljy, rikkipitoisuus &lt;1%</t>
  </si>
  <si>
    <t>Raskas polttoöljy, rikkipitoisuus ≥1%</t>
  </si>
  <si>
    <t>kg/Mj</t>
  </si>
  <si>
    <t>Raskas polttoöljy, rikkipitoisuus ≤0,1%</t>
  </si>
  <si>
    <t>Raskas polttoöljy, rikkipitoisuus ≤0,5%</t>
  </si>
  <si>
    <t>HUOM! Lämmöntuotantoon käytettyjä uusiutuvia polttoaineita, joiden perässä lukee BIO, ei huomioida mukaan varsinaiseen hiilijalanjälkeen,</t>
  </si>
  <si>
    <t xml:space="preserve">  </t>
  </si>
  <si>
    <t>kg/kWh</t>
  </si>
  <si>
    <r>
      <t>SYKE</t>
    </r>
    <r>
      <rPr>
        <vertAlign val="superscript"/>
        <sz val="10"/>
        <rFont val="Arial"/>
        <family val="2"/>
      </rPr>
      <t xml:space="preserve"> 5</t>
    </r>
  </si>
  <si>
    <r>
      <t xml:space="preserve">Kaupunginjohtajien
yleiskokous </t>
    </r>
    <r>
      <rPr>
        <vertAlign val="superscript"/>
        <sz val="10"/>
        <rFont val="Arial"/>
        <family val="2"/>
      </rPr>
      <t>6</t>
    </r>
  </si>
  <si>
    <t xml:space="preserve">EU </t>
  </si>
  <si>
    <t>Jätteet:</t>
  </si>
  <si>
    <t>Jätelaji</t>
  </si>
  <si>
    <t>Biojäte kompostiin</t>
  </si>
  <si>
    <t>kg/kg</t>
  </si>
  <si>
    <t>Kuivajäte kaatopaikalle</t>
  </si>
  <si>
    <r>
      <t>1</t>
    </r>
    <r>
      <rPr>
        <sz val="8"/>
        <rFont val="Arial"/>
        <family val="2"/>
      </rPr>
      <t xml:space="preserve"> VTT. 2010. LIPASTO. Liikenteen päästöt. Saatavissa: http://lipasto.vtt.fi/</t>
    </r>
  </si>
  <si>
    <r>
      <t xml:space="preserve">2 </t>
    </r>
    <r>
      <rPr>
        <sz val="8"/>
        <rFont val="Arial"/>
        <family val="2"/>
      </rPr>
      <t>Seppälä et al. 2009. Suomen kansantalouden materiaalivirtojen ympäristövaikutusten arviointi ENVIMAT-mallilla, Liite 8</t>
    </r>
  </si>
  <si>
    <t>Saatavissa: http://tilastokeskus.fi/tup/khkinv/khkaasut_polttoaineluokitus.html</t>
  </si>
  <si>
    <r>
      <t xml:space="preserve">4 </t>
    </r>
    <r>
      <rPr>
        <sz val="8"/>
        <rFont val="Arial"/>
        <family val="2"/>
      </rPr>
      <t>VTT. 2006. Dityppioksidin ja metaanin päästökertoimia Suomen voimalaitoksille, lämpökeskuk-</t>
    </r>
  </si>
  <si>
    <t>sille ja pienpoltolle. Saatavissa: http://www.vtt.fi/inf/pdf/workingpapers/2006/W43.pdf</t>
  </si>
  <si>
    <r>
      <t xml:space="preserve">5 </t>
    </r>
    <r>
      <rPr>
        <sz val="8"/>
        <rFont val="Arial"/>
        <family val="2"/>
      </rPr>
      <t>Suomen ympäristökeskus. 2011. Suomen sähkönhankinnan päästöt elinkaarilaskelmissa.</t>
    </r>
  </si>
  <si>
    <t>Saatavissa: http://www.ymparisto.fi/print.asp?contentid=381074&amp;lan=fi&amp;clan=fi</t>
  </si>
  <si>
    <t>Saatavissa: http://www.ymparisto.fi/download.asp?contentid=92262</t>
  </si>
  <si>
    <t>* Maantieajoa ja täydet kuormat</t>
  </si>
  <si>
    <t>** mallia 1000 TEU, täyttöaste 65 %</t>
  </si>
  <si>
    <t>*** Potkuriturbiini</t>
  </si>
  <si>
    <t>**** Suihkuturbiini</t>
  </si>
  <si>
    <t># maantieajo 73 % ja katuajo 27 %, keskimääräinen v. 2017 CO2ekv arvo</t>
  </si>
  <si>
    <t>## Kaupunkilinja-auto, 18 matkustajaa, keskimääräinen v. 2017 CO2ekv arvo</t>
  </si>
  <si>
    <t>### Intercity, sähköjuna</t>
  </si>
  <si>
    <t>#### hotelliyöpymisen hinta a' 80 €/vrk</t>
  </si>
  <si>
    <r>
      <t>3 </t>
    </r>
    <r>
      <rPr>
        <sz val="8"/>
        <rFont val="Arial"/>
        <family val="2"/>
      </rPr>
      <t>Tilastokeskus. 2019. Polttoaineluokitus 2019. 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</si>
  <si>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 Kaupunginjohtajien yleiskokous, Tekninen liite SEAP-lomakkeen täyttöohjeisiin, Päästökertoimet, http://www.eumayors.eu/IMG/pdf/technical_annex_fi.pdf</t>
    </r>
  </si>
  <si>
    <r>
      <rPr>
        <vertAlign val="superscript"/>
        <sz val="8"/>
        <rFont val="Arial"/>
        <family val="2"/>
      </rPr>
      <t>7 </t>
    </r>
    <r>
      <rPr>
        <sz val="8"/>
        <rFont val="Arial"/>
        <family val="2"/>
      </rPr>
      <t xml:space="preserve">Myllymaa et al. 2008. Jätteiden kierrätyksen ja polton käsittelyketjujen ympäristökuormitus ja kustannukset. S. 26 ja 61. 				</t>
    </r>
  </si>
  <si>
    <r>
      <t xml:space="preserve">Kotimaa, lyhyet lennot
</t>
    </r>
    <r>
      <rPr>
        <sz val="10"/>
        <rFont val="Arial"/>
        <family val="2"/>
      </rPr>
      <t>≤</t>
    </r>
    <r>
      <rPr>
        <i/>
        <sz val="10"/>
        <rFont val="Arial"/>
        <family val="2"/>
      </rPr>
      <t xml:space="preserve"> 463 km ***</t>
    </r>
  </si>
  <si>
    <r>
      <t xml:space="preserve">Eurooppa, lyhyet lennot 
</t>
    </r>
    <r>
      <rPr>
        <sz val="10"/>
        <rFont val="Arial"/>
        <family val="2"/>
      </rPr>
      <t>≤</t>
    </r>
    <r>
      <rPr>
        <i/>
        <sz val="10"/>
        <rFont val="Arial"/>
        <family val="2"/>
      </rPr>
      <t xml:space="preserve"> 463 km ****</t>
    </r>
  </si>
  <si>
    <t>Puuperäiset 
polttoaineet BIO</t>
  </si>
  <si>
    <t>Biokaasu BIO</t>
  </si>
  <si>
    <r>
      <t>Myllymaa et al.</t>
    </r>
    <r>
      <rPr>
        <vertAlign val="superscript"/>
        <sz val="10"/>
        <rFont val="Arial"/>
        <family val="2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</si>
</sst>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32" x14ac:knownFonts="1">
    <font>
      <sz val="10"/>
      <name val="Arial"/>
    </font>
    <font>
      <b/>
      <sz val="11"/>
      <color indexed="8"/>
      <name val="Calibri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63"/>
      <name val="Arial"/>
      <family val="2"/>
    </font>
    <font>
      <b/>
      <vertAlign val="subscript"/>
      <sz val="10"/>
      <color indexed="63"/>
      <name val="Arial"/>
      <family val="2"/>
    </font>
    <font>
      <sz val="10"/>
      <color indexed="63"/>
      <name val="Arial"/>
      <family val="2"/>
    </font>
    <font>
      <b/>
      <vertAlign val="superscript"/>
      <sz val="10"/>
      <color indexed="63"/>
      <name val="Arial"/>
      <family val="2"/>
    </font>
    <font>
      <sz val="10"/>
      <color indexed="10"/>
      <name val="Arial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</font>
    <font>
      <vertAlign val="superscript"/>
      <sz val="8"/>
      <name val="Arial"/>
      <family val="2"/>
    </font>
    <font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name val="Arial"/>
      <family val="2"/>
    </font>
    <font>
      <b/>
      <i/>
      <sz val="10"/>
      <color indexed="6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  <font>
      <sz val="10"/>
      <color theme="0"/>
      <name val="Arial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13" fillId="0" borderId="0" xfId="0" applyFont="1"/>
    <xf numFmtId="0" fontId="0" fillId="0" borderId="0" xfId="0" applyAlignment="1">
      <alignment horizontal="left"/>
    </xf>
    <xf numFmtId="0" fontId="4" fillId="2" borderId="0" xfId="0" applyFont="1" applyFill="1"/>
    <xf numFmtId="0" fontId="4" fillId="3" borderId="0" xfId="0" applyFont="1" applyFill="1"/>
    <xf numFmtId="0" fontId="0" fillId="3" borderId="0" xfId="0" applyFill="1"/>
    <xf numFmtId="0" fontId="15" fillId="0" borderId="0" xfId="0" applyFont="1"/>
    <xf numFmtId="0" fontId="14" fillId="0" borderId="0" xfId="0" applyFont="1"/>
    <xf numFmtId="0" fontId="17" fillId="0" borderId="0" xfId="0" applyFont="1"/>
    <xf numFmtId="0" fontId="4" fillId="0" borderId="4" xfId="0" applyFont="1" applyBorder="1"/>
    <xf numFmtId="0" fontId="15" fillId="0" borderId="5" xfId="0" applyFont="1" applyBorder="1"/>
    <xf numFmtId="0" fontId="0" fillId="0" borderId="3" xfId="0" applyBorder="1"/>
    <xf numFmtId="0" fontId="0" fillId="2" borderId="6" xfId="0" applyFill="1" applyBorder="1"/>
    <xf numFmtId="0" fontId="0" fillId="0" borderId="1" xfId="0" applyBorder="1"/>
    <xf numFmtId="0" fontId="9" fillId="2" borderId="4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4" fillId="0" borderId="1" xfId="0" applyFont="1" applyBorder="1"/>
    <xf numFmtId="0" fontId="17" fillId="0" borderId="4" xfId="0" applyFont="1" applyBorder="1"/>
    <xf numFmtId="0" fontId="15" fillId="0" borderId="1" xfId="0" applyFont="1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164" fontId="17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0" fontId="0" fillId="4" borderId="11" xfId="0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4" borderId="11" xfId="0" applyFill="1" applyBorder="1"/>
    <xf numFmtId="0" fontId="0" fillId="4" borderId="12" xfId="0" applyFill="1" applyBorder="1"/>
    <xf numFmtId="0" fontId="0" fillId="0" borderId="15" xfId="0" applyBorder="1"/>
    <xf numFmtId="0" fontId="0" fillId="0" borderId="16" xfId="0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2" fontId="4" fillId="0" borderId="0" xfId="0" applyNumberFormat="1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21" fillId="0" borderId="0" xfId="0" applyFont="1"/>
    <xf numFmtId="0" fontId="22" fillId="0" borderId="0" xfId="0" applyFont="1"/>
    <xf numFmtId="0" fontId="0" fillId="0" borderId="7" xfId="0" applyBorder="1"/>
    <xf numFmtId="2" fontId="0" fillId="0" borderId="0" xfId="0" applyNumberFormat="1"/>
    <xf numFmtId="0" fontId="0" fillId="0" borderId="26" xfId="0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0" fillId="2" borderId="2" xfId="0" applyFill="1" applyBorder="1"/>
    <xf numFmtId="0" fontId="16" fillId="0" borderId="1" xfId="0" applyFont="1" applyBorder="1"/>
    <xf numFmtId="0" fontId="16" fillId="0" borderId="5" xfId="0" applyFont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9" fillId="2" borderId="17" xfId="0" applyFont="1" applyFill="1" applyBorder="1" applyAlignment="1">
      <alignment horizontal="center" wrapText="1"/>
    </xf>
    <xf numFmtId="0" fontId="0" fillId="2" borderId="13" xfId="0" applyFill="1" applyBorder="1"/>
    <xf numFmtId="0" fontId="0" fillId="0" borderId="0" xfId="0" applyAlignment="1">
      <alignment horizontal="center"/>
    </xf>
    <xf numFmtId="0" fontId="20" fillId="0" borderId="0" xfId="1" applyAlignment="1" applyProtection="1"/>
    <xf numFmtId="0" fontId="0" fillId="6" borderId="0" xfId="0" applyFill="1"/>
    <xf numFmtId="0" fontId="0" fillId="6" borderId="1" xfId="0" applyFill="1" applyBorder="1"/>
    <xf numFmtId="0" fontId="4" fillId="6" borderId="1" xfId="0" applyFont="1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0" fillId="8" borderId="1" xfId="0" applyFill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wrapText="1"/>
    </xf>
    <xf numFmtId="2" fontId="0" fillId="6" borderId="1" xfId="0" applyNumberFormat="1" applyFill="1" applyBorder="1"/>
    <xf numFmtId="0" fontId="19" fillId="10" borderId="0" xfId="0" applyFont="1" applyFill="1"/>
    <xf numFmtId="2" fontId="19" fillId="10" borderId="0" xfId="0" applyNumberFormat="1" applyFont="1" applyFill="1"/>
    <xf numFmtId="0" fontId="17" fillId="10" borderId="7" xfId="0" applyFont="1" applyFill="1" applyBorder="1"/>
    <xf numFmtId="0" fontId="17" fillId="10" borderId="8" xfId="0" applyFont="1" applyFill="1" applyBorder="1"/>
    <xf numFmtId="0" fontId="17" fillId="8" borderId="0" xfId="0" applyFont="1" applyFill="1" applyAlignment="1">
      <alignment horizontal="right"/>
    </xf>
    <xf numFmtId="2" fontId="17" fillId="8" borderId="0" xfId="0" applyNumberFormat="1" applyFont="1" applyFill="1"/>
    <xf numFmtId="0" fontId="17" fillId="8" borderId="0" xfId="0" applyFont="1" applyFill="1"/>
    <xf numFmtId="0" fontId="0" fillId="6" borderId="6" xfId="0" applyFill="1" applyBorder="1"/>
    <xf numFmtId="0" fontId="0" fillId="8" borderId="6" xfId="0" applyFill="1" applyBorder="1"/>
    <xf numFmtId="2" fontId="0" fillId="8" borderId="6" xfId="0" applyNumberFormat="1" applyFill="1" applyBorder="1"/>
    <xf numFmtId="2" fontId="0" fillId="8" borderId="1" xfId="0" applyNumberFormat="1" applyFill="1" applyBorder="1"/>
    <xf numFmtId="0" fontId="0" fillId="8" borderId="0" xfId="0" applyFill="1"/>
    <xf numFmtId="0" fontId="4" fillId="8" borderId="21" xfId="0" applyFont="1" applyFill="1" applyBorder="1"/>
    <xf numFmtId="0" fontId="0" fillId="8" borderId="22" xfId="0" applyFill="1" applyBorder="1"/>
    <xf numFmtId="2" fontId="4" fillId="8" borderId="22" xfId="0" applyNumberFormat="1" applyFont="1" applyFill="1" applyBorder="1"/>
    <xf numFmtId="0" fontId="4" fillId="8" borderId="23" xfId="0" applyFont="1" applyFill="1" applyBorder="1"/>
    <xf numFmtId="0" fontId="16" fillId="0" borderId="0" xfId="0" applyFont="1"/>
    <xf numFmtId="0" fontId="25" fillId="0" borderId="0" xfId="0" applyFont="1"/>
    <xf numFmtId="0" fontId="0" fillId="11" borderId="0" xfId="0" applyFill="1"/>
    <xf numFmtId="0" fontId="4" fillId="11" borderId="0" xfId="0" applyFont="1" applyFill="1"/>
    <xf numFmtId="2" fontId="0" fillId="11" borderId="0" xfId="0" applyNumberFormat="1" applyFill="1"/>
    <xf numFmtId="0" fontId="15" fillId="8" borderId="0" xfId="0" applyFont="1" applyFill="1"/>
    <xf numFmtId="0" fontId="16" fillId="8" borderId="1" xfId="0" applyFont="1" applyFill="1" applyBorder="1"/>
    <xf numFmtId="2" fontId="16" fillId="8" borderId="1" xfId="0" applyNumberFormat="1" applyFont="1" applyFill="1" applyBorder="1"/>
    <xf numFmtId="0" fontId="4" fillId="8" borderId="0" xfId="0" applyFont="1" applyFill="1"/>
    <xf numFmtId="2" fontId="4" fillId="8" borderId="2" xfId="0" applyNumberFormat="1" applyFont="1" applyFill="1" applyBorder="1"/>
    <xf numFmtId="0" fontId="4" fillId="8" borderId="3" xfId="0" applyFont="1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0" fontId="4" fillId="8" borderId="22" xfId="0" applyFont="1" applyFill="1" applyBorder="1"/>
    <xf numFmtId="0" fontId="16" fillId="8" borderId="0" xfId="0" applyFont="1" applyFill="1"/>
    <xf numFmtId="0" fontId="26" fillId="0" borderId="0" xfId="0" applyFont="1" applyAlignment="1">
      <alignment horizontal="center"/>
    </xf>
    <xf numFmtId="0" fontId="4" fillId="9" borderId="0" xfId="0" applyFont="1" applyFill="1"/>
    <xf numFmtId="0" fontId="16" fillId="9" borderId="0" xfId="0" applyFont="1" applyFill="1"/>
    <xf numFmtId="0" fontId="4" fillId="6" borderId="1" xfId="0" applyFont="1" applyFill="1" applyBorder="1"/>
    <xf numFmtId="0" fontId="15" fillId="6" borderId="0" xfId="0" applyFont="1" applyFill="1"/>
    <xf numFmtId="0" fontId="4" fillId="0" borderId="9" xfId="0" applyFont="1" applyBorder="1"/>
    <xf numFmtId="0" fontId="0" fillId="0" borderId="26" xfId="0" applyBorder="1"/>
    <xf numFmtId="0" fontId="16" fillId="0" borderId="26" xfId="0" applyFont="1" applyBorder="1"/>
    <xf numFmtId="0" fontId="16" fillId="0" borderId="10" xfId="0" applyFont="1" applyBorder="1"/>
    <xf numFmtId="0" fontId="0" fillId="8" borderId="16" xfId="0" applyFill="1" applyBorder="1"/>
    <xf numFmtId="0" fontId="0" fillId="0" borderId="27" xfId="0" applyBorder="1"/>
    <xf numFmtId="0" fontId="0" fillId="0" borderId="28" xfId="0" applyBorder="1"/>
    <xf numFmtId="0" fontId="4" fillId="8" borderId="29" xfId="0" applyFont="1" applyFill="1" applyBorder="1"/>
    <xf numFmtId="0" fontId="0" fillId="0" borderId="10" xfId="0" applyBorder="1"/>
    <xf numFmtId="0" fontId="4" fillId="0" borderId="29" xfId="0" applyFont="1" applyBorder="1"/>
    <xf numFmtId="0" fontId="4" fillId="8" borderId="28" xfId="0" applyFont="1" applyFill="1" applyBorder="1"/>
    <xf numFmtId="165" fontId="0" fillId="0" borderId="0" xfId="2" applyNumberFormat="1" applyFont="1"/>
    <xf numFmtId="165" fontId="0" fillId="0" borderId="0" xfId="0" applyNumberFormat="1"/>
    <xf numFmtId="0" fontId="4" fillId="0" borderId="21" xfId="0" applyFont="1" applyBorder="1"/>
    <xf numFmtId="0" fontId="0" fillId="0" borderId="22" xfId="0" applyBorder="1"/>
    <xf numFmtId="0" fontId="0" fillId="6" borderId="16" xfId="0" applyFill="1" applyBorder="1"/>
    <xf numFmtId="0" fontId="0" fillId="8" borderId="29" xfId="0" applyFill="1" applyBorder="1"/>
    <xf numFmtId="0" fontId="0" fillId="0" borderId="9" xfId="0" applyBorder="1"/>
    <xf numFmtId="0" fontId="0" fillId="6" borderId="26" xfId="0" applyFill="1" applyBorder="1"/>
    <xf numFmtId="0" fontId="0" fillId="8" borderId="28" xfId="0" applyFill="1" applyBorder="1"/>
    <xf numFmtId="0" fontId="0" fillId="0" borderId="29" xfId="0" applyBorder="1"/>
    <xf numFmtId="0" fontId="15" fillId="0" borderId="15" xfId="0" applyFont="1" applyBorder="1"/>
    <xf numFmtId="0" fontId="16" fillId="0" borderId="15" xfId="0" applyFont="1" applyBorder="1"/>
    <xf numFmtId="0" fontId="16" fillId="0" borderId="23" xfId="0" applyFont="1" applyBorder="1"/>
    <xf numFmtId="0" fontId="16" fillId="10" borderId="7" xfId="0" applyFont="1" applyFill="1" applyBorder="1"/>
    <xf numFmtId="0" fontId="16" fillId="10" borderId="8" xfId="0" applyFont="1" applyFill="1" applyBorder="1"/>
    <xf numFmtId="0" fontId="30" fillId="0" borderId="0" xfId="0" applyFont="1"/>
    <xf numFmtId="164" fontId="30" fillId="0" borderId="0" xfId="0" applyNumberFormat="1" applyFont="1"/>
    <xf numFmtId="164" fontId="4" fillId="8" borderId="0" xfId="0" applyNumberFormat="1" applyFont="1" applyFill="1"/>
    <xf numFmtId="0" fontId="16" fillId="0" borderId="1" xfId="0" applyFont="1" applyBorder="1" applyAlignment="1">
      <alignment horizontal="center"/>
    </xf>
    <xf numFmtId="0" fontId="0" fillId="12" borderId="11" xfId="0" applyFill="1" applyBorder="1"/>
    <xf numFmtId="0" fontId="0" fillId="12" borderId="12" xfId="0" applyFill="1" applyBorder="1"/>
    <xf numFmtId="0" fontId="0" fillId="12" borderId="2" xfId="0" applyFill="1" applyBorder="1"/>
    <xf numFmtId="0" fontId="0" fillId="12" borderId="13" xfId="0" applyFill="1" applyBorder="1"/>
    <xf numFmtId="0" fontId="0" fillId="12" borderId="14" xfId="0" applyFill="1" applyBorder="1"/>
    <xf numFmtId="0" fontId="4" fillId="0" borderId="4" xfId="0" applyFont="1" applyBorder="1" applyAlignment="1">
      <alignment horizontal="center" wrapText="1"/>
    </xf>
    <xf numFmtId="0" fontId="0" fillId="0" borderId="6" xfId="0" applyBorder="1"/>
    <xf numFmtId="0" fontId="0" fillId="2" borderId="1" xfId="0" applyFill="1" applyBorder="1"/>
    <xf numFmtId="0" fontId="4" fillId="8" borderId="13" xfId="0" applyFont="1" applyFill="1" applyBorder="1"/>
    <xf numFmtId="0" fontId="4" fillId="8" borderId="25" xfId="0" applyFont="1" applyFill="1" applyBorder="1"/>
    <xf numFmtId="0" fontId="4" fillId="8" borderId="17" xfId="0" applyFont="1" applyFill="1" applyBorder="1"/>
    <xf numFmtId="0" fontId="4" fillId="8" borderId="18" xfId="0" applyFont="1" applyFill="1" applyBorder="1"/>
    <xf numFmtId="0" fontId="16" fillId="12" borderId="0" xfId="0" applyFont="1" applyFill="1"/>
    <xf numFmtId="0" fontId="16" fillId="12" borderId="13" xfId="0" applyFont="1" applyFill="1" applyBorder="1"/>
    <xf numFmtId="0" fontId="16" fillId="12" borderId="14" xfId="0" applyFont="1" applyFill="1" applyBorder="1"/>
    <xf numFmtId="0" fontId="16" fillId="12" borderId="20" xfId="0" applyFont="1" applyFill="1" applyBorder="1"/>
    <xf numFmtId="0" fontId="16" fillId="12" borderId="24" xfId="0" applyFont="1" applyFill="1" applyBorder="1"/>
    <xf numFmtId="0" fontId="16" fillId="12" borderId="12" xfId="0" applyFont="1" applyFill="1" applyBorder="1"/>
    <xf numFmtId="2" fontId="16" fillId="8" borderId="0" xfId="0" applyNumberFormat="1" applyFont="1" applyFill="1"/>
    <xf numFmtId="0" fontId="15" fillId="0" borderId="7" xfId="0" applyFont="1" applyBorder="1"/>
    <xf numFmtId="0" fontId="0" fillId="6" borderId="7" xfId="0" applyFill="1" applyBorder="1"/>
    <xf numFmtId="0" fontId="0" fillId="8" borderId="7" xfId="0" applyFill="1" applyBorder="1"/>
    <xf numFmtId="0" fontId="4" fillId="0" borderId="23" xfId="0" applyFont="1" applyBorder="1"/>
    <xf numFmtId="3" fontId="0" fillId="6" borderId="1" xfId="0" applyNumberFormat="1" applyFill="1" applyBorder="1"/>
    <xf numFmtId="3" fontId="0" fillId="6" borderId="0" xfId="0" applyNumberFormat="1" applyFill="1"/>
    <xf numFmtId="0" fontId="0" fillId="2" borderId="0" xfId="0" applyFill="1" applyBorder="1"/>
    <xf numFmtId="0" fontId="0" fillId="12" borderId="24" xfId="0" applyFill="1" applyBorder="1"/>
    <xf numFmtId="0" fontId="0" fillId="12" borderId="33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11" fontId="1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11" fontId="16" fillId="0" borderId="2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7" xfId="0" applyFont="1" applyBorder="1"/>
    <xf numFmtId="11" fontId="16" fillId="0" borderId="31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30" xfId="0" applyFont="1" applyBorder="1" applyAlignment="1"/>
    <xf numFmtId="11" fontId="16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6" xfId="0" applyFont="1" applyBorder="1"/>
    <xf numFmtId="11" fontId="16" fillId="0" borderId="32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" xfId="0" applyFont="1" applyBorder="1"/>
    <xf numFmtId="11" fontId="16" fillId="0" borderId="3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16" fillId="6" borderId="1" xfId="0" applyFont="1" applyFill="1" applyBorder="1"/>
    <xf numFmtId="0" fontId="16" fillId="5" borderId="1" xfId="0" applyFont="1" applyFill="1" applyBorder="1"/>
    <xf numFmtId="0" fontId="4" fillId="0" borderId="1" xfId="0" applyFont="1" applyBorder="1" applyAlignment="1">
      <alignment vertical="top"/>
    </xf>
    <xf numFmtId="3" fontId="16" fillId="6" borderId="1" xfId="0" applyNumberFormat="1" applyFont="1" applyFill="1" applyBorder="1"/>
    <xf numFmtId="0" fontId="16" fillId="2" borderId="0" xfId="0" applyFont="1" applyFill="1"/>
  </cellXfs>
  <cellStyles count="3">
    <cellStyle name="Hyperlinkki" xfId="1" builtinId="8"/>
    <cellStyle name="Normaali" xfId="0" builtinId="0"/>
    <cellStyle name="Prosentti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Tuotekohtainen hiilijalanjälki</a:t>
            </a:r>
          </a:p>
        </c:rich>
      </c:tx>
      <c:layout>
        <c:manualLayout>
          <c:xMode val="edge"/>
          <c:yMode val="edge"/>
          <c:x val="0.17193744531933508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AC-48E9-BE47-34BFF4444D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72-4205-86FC-586071026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72-4205-86FC-5860710263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172-4205-86FC-586071026394}"/>
              </c:ext>
            </c:extLst>
          </c:dPt>
          <c:dLbls>
            <c:dLbl>
              <c:idx val="0"/>
              <c:layout>
                <c:manualLayout>
                  <c:x val="-0.14907480314960631"/>
                  <c:y val="2.34576407115777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C-48E9-BE47-34BFF4444DAA}"/>
                </c:ext>
              </c:extLst>
            </c:dLbl>
            <c:dLbl>
              <c:idx val="1"/>
              <c:layout>
                <c:manualLayout>
                  <c:x val="-4.8043307086614195E-2"/>
                  <c:y val="4.52686643336249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72-4205-86FC-586071026394}"/>
                </c:ext>
              </c:extLst>
            </c:dLbl>
            <c:dLbl>
              <c:idx val="2"/>
              <c:layout>
                <c:manualLayout>
                  <c:x val="2.4167322834645618E-2"/>
                  <c:y val="7.306430446194204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72-4205-86FC-5860710263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72-4205-86FC-586071026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Hiilijalanjälki!$J$4:$J$7</c:f>
              <c:strCache>
                <c:ptCount val="4"/>
                <c:pt idx="0">
                  <c:v>Sähkö</c:v>
                </c:pt>
                <c:pt idx="1">
                  <c:v>Polttoaineet</c:v>
                </c:pt>
                <c:pt idx="2">
                  <c:v>Muut</c:v>
                </c:pt>
                <c:pt idx="3">
                  <c:v>Ruoka</c:v>
                </c:pt>
              </c:strCache>
            </c:strRef>
          </c:cat>
          <c:val>
            <c:numRef>
              <c:f>Hiilijalanjälki!$K$4:$K$7</c:f>
              <c:numCache>
                <c:formatCode>0.0</c:formatCode>
                <c:ptCount val="4"/>
                <c:pt idx="0">
                  <c:v>16.436</c:v>
                </c:pt>
                <c:pt idx="1">
                  <c:v>1.9337319360000127</c:v>
                </c:pt>
                <c:pt idx="2">
                  <c:v>0.338146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2-4205-86FC-586071026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Hiilijalanjälki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2F-4886-B254-FF76BC1741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2F-4886-B254-FF76BC1741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2F-4886-B254-FF76BC1741D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F419071-92F4-42E4-93CD-A4B30B124808}" type="CATEGORYNAME">
                      <a:rPr lang="en-US"/>
                      <a:pPr/>
                      <a:t>[LUOKAN NIMI]</a:t>
                    </a:fld>
                    <a:r>
                      <a:rPr lang="en-US"/>
                      <a:t>Sähkönkulus</a:t>
                    </a:r>
                    <a:r>
                      <a:rPr lang="en-US" baseline="0"/>
                      <a:t>
</a:t>
                    </a:r>
                    <a:fld id="{6687D655-9AD1-4D6D-BC7A-2F8415AE6361}" type="PERCENTAGE">
                      <a:rPr lang="en-US" baseline="0"/>
                      <a:pPr/>
                      <a:t>[PROSENTTI]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2F-4886-B254-FF76BC1741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BFC69C7-B987-4F28-BE21-6B1C7F78B0CF}" type="CATEGORYNAME">
                      <a:rPr lang="en-US"/>
                      <a:pPr/>
                      <a:t>[LUOKAN NIMI]</a:t>
                    </a:fld>
                    <a:r>
                      <a:rPr lang="en-US"/>
                      <a:t>Polttoaineiden kulutus</a:t>
                    </a:r>
                    <a:r>
                      <a:rPr lang="en-US" baseline="0"/>
                      <a:t>
</a:t>
                    </a:r>
                    <a:fld id="{4F436872-FF05-4702-9CE9-758057DEC5C2}" type="PERCENTAGE">
                      <a:rPr lang="en-US" baseline="0"/>
                      <a:pPr/>
                      <a:t>[PROSENTTI]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A2F-4886-B254-FF76BC1741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Muut</a:t>
                    </a:r>
                    <a:fld id="{A318A264-C373-4D15-AF22-D6755B9A1308}" type="CATEGORYNAME">
                      <a:rPr lang="en-US"/>
                      <a:pPr/>
                      <a:t>[LUOKAN NIMI]</a:t>
                    </a:fld>
                    <a:r>
                      <a:rPr lang="en-US" baseline="0"/>
                      <a:t>
</a:t>
                    </a:r>
                    <a:fld id="{CB695EBD-08C8-44A8-92CE-50755759AED0}" type="PERCENTAGE">
                      <a:rPr lang="en-US" baseline="0"/>
                      <a:pPr/>
                      <a:t>[PROSENTTI]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A2F-4886-B254-FF76BC1741D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Hiilijalanjälki!$C$4:$C$6</c:f>
              <c:numCache>
                <c:formatCode>0.00</c:formatCode>
                <c:ptCount val="3"/>
                <c:pt idx="0">
                  <c:v>8218</c:v>
                </c:pt>
                <c:pt idx="1">
                  <c:v>966.86596800000632</c:v>
                </c:pt>
                <c:pt idx="2">
                  <c:v>169.07300000000001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Hiilijalanjälki!$B$4:$B$6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3D8-42E2-9A89-418193FC2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Sähkötyyppien vertailu kasvihuonekaasupäästöjen osalta</a:t>
            </a:r>
          </a:p>
        </c:rich>
      </c:tx>
      <c:layout>
        <c:manualLayout>
          <c:xMode val="edge"/>
          <c:yMode val="edge"/>
          <c:x val="0.17713399351651091"/>
          <c:y val="4.2857142857142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584076502"/>
          <c:y val="0.1666670541923693"/>
          <c:w val="0.86634596785987805"/>
          <c:h val="0.6857158801057480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Sähkönkulutus!$A$15:$A$19</c:f>
              <c:strCache>
                <c:ptCount val="5"/>
                <c:pt idx="0">
                  <c:v>Kansallinen päästökerroin</c:v>
                </c:pt>
                <c:pt idx="1">
                  <c:v>Aurinkosähkö</c:v>
                </c:pt>
                <c:pt idx="2">
                  <c:v>Tuulivoima</c:v>
                </c:pt>
                <c:pt idx="3">
                  <c:v>Vesivoima</c:v>
                </c:pt>
                <c:pt idx="4">
                  <c:v>Ydinvoima</c:v>
                </c:pt>
              </c:strCache>
            </c:strRef>
          </c:cat>
          <c:val>
            <c:numRef>
              <c:f>Sähkönkulutus!$D$15:$D$19</c:f>
              <c:numCache>
                <c:formatCode>General</c:formatCode>
                <c:ptCount val="5"/>
                <c:pt idx="0">
                  <c:v>42218</c:v>
                </c:pt>
                <c:pt idx="1">
                  <c:v>8282</c:v>
                </c:pt>
                <c:pt idx="2">
                  <c:v>2222</c:v>
                </c:pt>
                <c:pt idx="3">
                  <c:v>4848</c:v>
                </c:pt>
                <c:pt idx="4">
                  <c:v>2424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0-454E-B2AD-3676804D7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1200"/>
        <c:axId val="241736448"/>
      </c:barChart>
      <c:catAx>
        <c:axId val="799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173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73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9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kg CO</a:t>
                </a:r>
                <a:r>
                  <a:rPr lang="fi-FI" sz="925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fi-FI" sz="9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ekv</a:t>
                </a:r>
              </a:p>
            </c:rich>
          </c:tx>
          <c:layout>
            <c:manualLayout>
              <c:xMode val="edge"/>
              <c:yMode val="edge"/>
              <c:x val="2.5764895330112721E-2"/>
              <c:y val="0.435715285589301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7991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3</xdr:row>
      <xdr:rowOff>76200</xdr:rowOff>
    </xdr:from>
    <xdr:to>
      <xdr:col>8</xdr:col>
      <xdr:colOff>568960</xdr:colOff>
      <xdr:row>9</xdr:row>
      <xdr:rowOff>139700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579120"/>
          <a:ext cx="5400040" cy="1069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26</xdr:row>
      <xdr:rowOff>125730</xdr:rowOff>
    </xdr:from>
    <xdr:to>
      <xdr:col>0</xdr:col>
      <xdr:colOff>5082540</xdr:colOff>
      <xdr:row>43</xdr:row>
      <xdr:rowOff>19050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</xdr:colOff>
      <xdr:row>7</xdr:row>
      <xdr:rowOff>201930</xdr:rowOff>
    </xdr:from>
    <xdr:to>
      <xdr:col>0</xdr:col>
      <xdr:colOff>5219700</xdr:colOff>
      <xdr:row>25</xdr:row>
      <xdr:rowOff>160020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21</xdr:row>
      <xdr:rowOff>7620</xdr:rowOff>
    </xdr:from>
    <xdr:to>
      <xdr:col>6</xdr:col>
      <xdr:colOff>114300</xdr:colOff>
      <xdr:row>45</xdr:row>
      <xdr:rowOff>129540</xdr:rowOff>
    </xdr:to>
    <xdr:graphicFrame macro="">
      <xdr:nvGraphicFramePr>
        <xdr:cNvPr id="2062" name="Kaavio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yke.fi/fi-FI/Tutkimus__kehittaminen/Kulutuksen_ja_tuotannon_kestavyys/Laskurit/Yhiilari" TargetMode="External"/><Relationship Id="rId1" Type="http://schemas.openxmlformats.org/officeDocument/2006/relationships/hyperlink" Target="http://www.mamk.fi/vahima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otiva.fi/files/3193/Polttoaineiden_lampoarvot_hyotysuhteet_ja_hiilidioksidin_ominaispaastokertoimet_seka_energianhinnat_19042010.pdf" TargetMode="Externa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2"/>
  <sheetViews>
    <sheetView workbookViewId="0">
      <selection activeCell="A22" sqref="A22"/>
    </sheetView>
  </sheetViews>
  <sheetFormatPr defaultRowHeight="12.75" x14ac:dyDescent="0.2"/>
  <sheetData>
    <row r="2" spans="1:1" x14ac:dyDescent="0.2">
      <c r="A2" t="s">
        <v>0</v>
      </c>
    </row>
    <row r="3" spans="1:1" x14ac:dyDescent="0.2">
      <c r="A3" s="64" t="s">
        <v>1</v>
      </c>
    </row>
    <row r="12" spans="1:1" x14ac:dyDescent="0.2">
      <c r="A12" t="s">
        <v>2</v>
      </c>
    </row>
    <row r="13" spans="1:1" x14ac:dyDescent="0.2">
      <c r="A13" s="64" t="s">
        <v>3</v>
      </c>
    </row>
    <row r="15" spans="1:1" x14ac:dyDescent="0.2">
      <c r="A15" t="s">
        <v>4</v>
      </c>
    </row>
    <row r="16" spans="1:1" x14ac:dyDescent="0.2">
      <c r="A16" t="s">
        <v>5</v>
      </c>
    </row>
    <row r="17" spans="1:4" x14ac:dyDescent="0.2">
      <c r="A17" s="89" t="s">
        <v>6</v>
      </c>
    </row>
    <row r="19" spans="1:4" x14ac:dyDescent="0.2">
      <c r="A19" t="s">
        <v>7</v>
      </c>
    </row>
    <row r="20" spans="1:4" x14ac:dyDescent="0.2">
      <c r="A20" s="65" t="s">
        <v>8</v>
      </c>
      <c r="B20" s="65"/>
      <c r="C20" s="65"/>
      <c r="D20" s="65"/>
    </row>
    <row r="21" spans="1:4" x14ac:dyDescent="0.2">
      <c r="A21" s="84" t="s">
        <v>9</v>
      </c>
      <c r="B21" s="84"/>
      <c r="C21" s="84"/>
      <c r="D21" s="84"/>
    </row>
    <row r="22" spans="1:4" x14ac:dyDescent="0.2">
      <c r="A22" s="89" t="s">
        <v>10</v>
      </c>
    </row>
  </sheetData>
  <hyperlinks>
    <hyperlink ref="A3" r:id="rId1" xr:uid="{00000000-0004-0000-0000-000000000000}"/>
    <hyperlink ref="A13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tabSelected="1" workbookViewId="0">
      <selection activeCell="A3" sqref="A3"/>
    </sheetView>
  </sheetViews>
  <sheetFormatPr defaultRowHeight="12.75" x14ac:dyDescent="0.2"/>
  <cols>
    <col min="1" max="1" width="77.85546875" customWidth="1"/>
    <col min="2" max="2" width="77.85546875" hidden="1" customWidth="1"/>
    <col min="3" max="3" width="19.140625" customWidth="1"/>
    <col min="4" max="4" width="14.140625" customWidth="1"/>
    <col min="6" max="6" width="11.42578125" customWidth="1"/>
    <col min="7" max="7" width="11.140625" customWidth="1"/>
    <col min="8" max="8" width="11" customWidth="1"/>
    <col min="10" max="10" width="8.85546875" customWidth="1"/>
    <col min="11" max="11" width="9.5703125" customWidth="1"/>
  </cols>
  <sheetData>
    <row r="1" spans="1:11" x14ac:dyDescent="0.2">
      <c r="A1" s="11" t="s">
        <v>11</v>
      </c>
      <c r="B1" s="11"/>
    </row>
    <row r="3" spans="1:11" ht="18.75" x14ac:dyDescent="0.35">
      <c r="A3" s="21" t="s">
        <v>12</v>
      </c>
      <c r="B3" s="21"/>
      <c r="C3" s="21" t="s">
        <v>13</v>
      </c>
      <c r="D3" s="21"/>
      <c r="F3" s="89" t="s">
        <v>14</v>
      </c>
      <c r="J3" s="135"/>
      <c r="K3" s="135"/>
    </row>
    <row r="4" spans="1:11" ht="18.75" x14ac:dyDescent="0.35">
      <c r="A4" s="73" t="s">
        <v>15</v>
      </c>
      <c r="B4" s="73" t="s">
        <v>16</v>
      </c>
      <c r="C4" s="74">
        <f>Sähkönkulutus!C6</f>
        <v>8218</v>
      </c>
      <c r="D4" s="75" t="s">
        <v>13</v>
      </c>
      <c r="F4" s="89">
        <f>C4/F18*F19</f>
        <v>16.436</v>
      </c>
      <c r="G4" s="133" t="s">
        <v>17</v>
      </c>
      <c r="J4" s="135" t="s">
        <v>16</v>
      </c>
      <c r="K4" s="136">
        <f>F4</f>
        <v>16.436</v>
      </c>
    </row>
    <row r="5" spans="1:11" ht="18.75" x14ac:dyDescent="0.35">
      <c r="A5" s="73" t="s">
        <v>18</v>
      </c>
      <c r="B5" s="73" t="s">
        <v>19</v>
      </c>
      <c r="C5" s="74">
        <f>'Lämpö- ja polttoaineet'!N24+'Lämpö- ja polttoaineet'!N26</f>
        <v>966.86596800000632</v>
      </c>
      <c r="D5" s="76" t="s">
        <v>13</v>
      </c>
      <c r="F5" s="89">
        <f>C5/F18*F19</f>
        <v>1.9337319360000127</v>
      </c>
      <c r="G5" s="134" t="s">
        <v>17</v>
      </c>
      <c r="H5" s="3"/>
      <c r="J5" s="135" t="s">
        <v>19</v>
      </c>
      <c r="K5" s="136">
        <f>F5</f>
        <v>1.9337319360000127</v>
      </c>
    </row>
    <row r="6" spans="1:11" ht="18.75" x14ac:dyDescent="0.35">
      <c r="A6" s="73" t="s">
        <v>20</v>
      </c>
      <c r="B6" s="73" t="s">
        <v>20</v>
      </c>
      <c r="C6" s="74">
        <f>Muut!C60+Muut!D34+Muut!D41</f>
        <v>169.07300000000001</v>
      </c>
      <c r="D6" s="76" t="s">
        <v>13</v>
      </c>
      <c r="F6" s="89">
        <f>C6/F18*F19</f>
        <v>0.338146</v>
      </c>
      <c r="G6" s="134" t="s">
        <v>17</v>
      </c>
      <c r="J6" s="135" t="s">
        <v>20</v>
      </c>
      <c r="K6" s="136">
        <f>F6</f>
        <v>0.338146</v>
      </c>
    </row>
    <row r="7" spans="1:11" ht="18.75" x14ac:dyDescent="0.35">
      <c r="A7" s="77" t="s">
        <v>21</v>
      </c>
      <c r="B7" s="77"/>
      <c r="C7" s="78">
        <f>C4+C5+C6</f>
        <v>9353.9389680000058</v>
      </c>
      <c r="D7" s="79" t="s">
        <v>13</v>
      </c>
      <c r="E7">
        <f>C7/F18*F19</f>
        <v>18.707877936000013</v>
      </c>
      <c r="F7" s="89">
        <f>SUM(F4:F6)</f>
        <v>18.70787793600001</v>
      </c>
      <c r="G7" s="89" t="s">
        <v>17</v>
      </c>
      <c r="J7" s="135" t="s">
        <v>22</v>
      </c>
      <c r="K7" s="136">
        <f>F13</f>
        <v>0</v>
      </c>
    </row>
    <row r="8" spans="1:11" ht="18.75" x14ac:dyDescent="0.35">
      <c r="C8" s="25">
        <f>C7/1000</f>
        <v>9.3539389680000067</v>
      </c>
      <c r="D8" s="12" t="s">
        <v>23</v>
      </c>
      <c r="F8" s="89">
        <f>F7/1000</f>
        <v>1.8707877936000011E-2</v>
      </c>
      <c r="G8" s="89" t="s">
        <v>24</v>
      </c>
      <c r="J8" s="135"/>
      <c r="K8" s="136">
        <f>SUM(K4:K7)</f>
        <v>18.70787793600001</v>
      </c>
    </row>
    <row r="11" spans="1:11" x14ac:dyDescent="0.2">
      <c r="D11" s="89"/>
    </row>
    <row r="12" spans="1:11" x14ac:dyDescent="0.2">
      <c r="D12" s="89"/>
      <c r="G12" s="89"/>
      <c r="I12" s="89"/>
    </row>
    <row r="13" spans="1:11" x14ac:dyDescent="0.2">
      <c r="D13" s="89"/>
      <c r="H13" s="89"/>
    </row>
    <row r="15" spans="1:11" x14ac:dyDescent="0.2">
      <c r="G15" s="89"/>
    </row>
    <row r="18" spans="4:7" x14ac:dyDescent="0.2">
      <c r="D18" t="s">
        <v>25</v>
      </c>
      <c r="E18" s="53"/>
      <c r="F18" s="65">
        <v>500</v>
      </c>
    </row>
    <row r="19" spans="4:7" x14ac:dyDescent="0.2">
      <c r="D19" t="s">
        <v>26</v>
      </c>
      <c r="F19" s="65">
        <v>1</v>
      </c>
    </row>
    <row r="20" spans="4:7" x14ac:dyDescent="0.2">
      <c r="D20" s="97" t="s">
        <v>27</v>
      </c>
      <c r="E20" s="97"/>
      <c r="F20" s="137">
        <f>C7/F18*F19</f>
        <v>18.707877936000013</v>
      </c>
      <c r="G20">
        <f>F20/F19</f>
        <v>18.707877936000013</v>
      </c>
    </row>
    <row r="57" spans="1:7" x14ac:dyDescent="0.2">
      <c r="A57" s="5" t="s">
        <v>28</v>
      </c>
      <c r="B57" s="5"/>
      <c r="C57" s="5"/>
      <c r="D57" s="5"/>
      <c r="E57" s="5"/>
      <c r="F57" s="5"/>
      <c r="G57" s="5"/>
    </row>
    <row r="58" spans="1:7" x14ac:dyDescent="0.2">
      <c r="A58" s="5" t="s">
        <v>29</v>
      </c>
      <c r="B58" s="5"/>
      <c r="C58" s="5"/>
      <c r="D58" s="5"/>
      <c r="E58" s="5"/>
      <c r="F58" s="5"/>
      <c r="G58" s="5"/>
    </row>
    <row r="59" spans="1:7" x14ac:dyDescent="0.2">
      <c r="A59" s="5" t="s">
        <v>30</v>
      </c>
      <c r="B59" s="5"/>
      <c r="C59" s="5"/>
      <c r="D59" s="5"/>
      <c r="E59" s="5"/>
      <c r="F59" s="5"/>
      <c r="G59" s="5"/>
    </row>
  </sheetData>
  <phoneticPr fontId="6" type="noConversion"/>
  <pageMargins left="0.75" right="0.75" top="1" bottom="1" header="0.4921259845" footer="0.4921259845"/>
  <pageSetup paperSize="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"/>
  <sheetViews>
    <sheetView workbookViewId="0">
      <selection activeCell="K42" sqref="K42"/>
    </sheetView>
  </sheetViews>
  <sheetFormatPr defaultRowHeight="12.75" x14ac:dyDescent="0.2"/>
  <cols>
    <col min="1" max="1" width="22.28515625" customWidth="1"/>
    <col min="2" max="2" width="15.85546875" customWidth="1"/>
    <col min="3" max="3" width="15" customWidth="1"/>
    <col min="4" max="4" width="15.28515625" customWidth="1"/>
    <col min="5" max="5" width="14.140625" customWidth="1"/>
    <col min="6" max="6" width="5" customWidth="1"/>
    <col min="7" max="7" width="11.28515625" customWidth="1"/>
    <col min="8" max="8" width="10.5703125" customWidth="1"/>
    <col min="9" max="9" width="10.7109375" customWidth="1"/>
  </cols>
  <sheetData>
    <row r="1" spans="1:9" ht="19.5" customHeight="1" x14ac:dyDescent="0.2">
      <c r="A1" s="11" t="s">
        <v>31</v>
      </c>
      <c r="B1" s="3"/>
      <c r="C1" s="3"/>
    </row>
    <row r="2" spans="1:9" ht="13.5" thickBot="1" x14ac:dyDescent="0.25"/>
    <row r="3" spans="1:9" ht="27.75" x14ac:dyDescent="0.25">
      <c r="A3" s="107" t="s">
        <v>32</v>
      </c>
      <c r="B3" s="48" t="s">
        <v>33</v>
      </c>
      <c r="C3" s="61" t="s">
        <v>34</v>
      </c>
      <c r="D3" s="59"/>
      <c r="E3" s="89"/>
      <c r="G3" s="59"/>
      <c r="H3" s="59"/>
      <c r="I3" s="59"/>
    </row>
    <row r="4" spans="1:9" x14ac:dyDescent="0.2">
      <c r="A4" s="162">
        <v>202</v>
      </c>
      <c r="B4" s="10">
        <v>35</v>
      </c>
      <c r="C4" s="62">
        <f>A4*B4</f>
        <v>7070</v>
      </c>
      <c r="D4" s="60"/>
      <c r="E4" s="89" t="s">
        <v>35</v>
      </c>
      <c r="G4" s="89"/>
      <c r="H4" s="89"/>
    </row>
    <row r="5" spans="1:9" x14ac:dyDescent="0.2">
      <c r="A5" s="163">
        <v>28</v>
      </c>
      <c r="B5" s="10">
        <v>41</v>
      </c>
      <c r="C5" s="62">
        <f>A5*B5</f>
        <v>1148</v>
      </c>
      <c r="D5" s="60"/>
      <c r="E5" s="89"/>
      <c r="G5" s="89"/>
      <c r="H5" s="89"/>
    </row>
    <row r="6" spans="1:9" x14ac:dyDescent="0.2">
      <c r="A6" s="163"/>
      <c r="B6" s="10"/>
      <c r="C6" s="164">
        <f>C4+C5</f>
        <v>8218</v>
      </c>
      <c r="D6" s="60"/>
      <c r="E6" s="89"/>
      <c r="G6" s="89"/>
      <c r="H6" s="89"/>
    </row>
    <row r="7" spans="1:9" x14ac:dyDescent="0.2">
      <c r="A7" s="10" t="s">
        <v>36</v>
      </c>
      <c r="B7" s="10"/>
      <c r="C7" s="104"/>
      <c r="D7" s="104"/>
      <c r="E7" s="59"/>
      <c r="G7" s="89"/>
      <c r="H7" s="89"/>
    </row>
    <row r="8" spans="1:9" x14ac:dyDescent="0.2">
      <c r="A8" s="10" t="s">
        <v>37</v>
      </c>
      <c r="B8" s="10">
        <v>239</v>
      </c>
      <c r="C8" s="10" t="s">
        <v>38</v>
      </c>
      <c r="D8" s="89"/>
      <c r="E8" s="89" t="s">
        <v>39</v>
      </c>
      <c r="F8" s="89"/>
      <c r="G8" s="89"/>
    </row>
    <row r="9" spans="1:9" x14ac:dyDescent="0.2">
      <c r="A9" s="10" t="s">
        <v>40</v>
      </c>
      <c r="B9" s="10">
        <v>155</v>
      </c>
      <c r="C9" s="10" t="s">
        <v>38</v>
      </c>
      <c r="D9" s="89"/>
      <c r="E9" s="89" t="s">
        <v>41</v>
      </c>
      <c r="F9" s="89"/>
      <c r="G9" s="89"/>
    </row>
    <row r="10" spans="1:9" x14ac:dyDescent="0.2">
      <c r="A10" s="10" t="s">
        <v>42</v>
      </c>
      <c r="B10" s="10">
        <v>252</v>
      </c>
      <c r="C10" s="10" t="s">
        <v>38</v>
      </c>
      <c r="D10" s="89"/>
      <c r="E10" s="89" t="s">
        <v>41</v>
      </c>
      <c r="F10" s="89"/>
      <c r="G10" s="89"/>
    </row>
    <row r="11" spans="1:9" x14ac:dyDescent="0.2">
      <c r="A11" s="10" t="s">
        <v>43</v>
      </c>
      <c r="B11" s="10">
        <v>135</v>
      </c>
      <c r="C11" s="10" t="s">
        <v>38</v>
      </c>
      <c r="D11" s="11"/>
      <c r="E11" s="89" t="s">
        <v>44</v>
      </c>
      <c r="F11" s="11"/>
    </row>
    <row r="12" spans="1:9" x14ac:dyDescent="0.2">
      <c r="A12" s="11"/>
      <c r="B12" s="11"/>
      <c r="C12" s="11"/>
      <c r="D12" s="11"/>
      <c r="E12" s="11"/>
      <c r="F12" s="11"/>
    </row>
    <row r="13" spans="1:9" x14ac:dyDescent="0.2">
      <c r="A13" s="3" t="s">
        <v>45</v>
      </c>
    </row>
    <row r="14" spans="1:9" ht="29.25" x14ac:dyDescent="0.25">
      <c r="A14" s="13" t="s">
        <v>46</v>
      </c>
      <c r="B14" s="19" t="s">
        <v>47</v>
      </c>
      <c r="C14" s="144" t="s">
        <v>48</v>
      </c>
      <c r="D14" s="18" t="s">
        <v>34</v>
      </c>
    </row>
    <row r="15" spans="1:9" x14ac:dyDescent="0.2">
      <c r="A15" s="14" t="s">
        <v>49</v>
      </c>
      <c r="B15">
        <v>209</v>
      </c>
      <c r="C15" s="145">
        <f>A4</f>
        <v>202</v>
      </c>
      <c r="D15" s="16">
        <f>C15*B15</f>
        <v>42218</v>
      </c>
    </row>
    <row r="16" spans="1:9" x14ac:dyDescent="0.2">
      <c r="A16" s="14" t="s">
        <v>50</v>
      </c>
      <c r="B16" s="15">
        <v>41</v>
      </c>
      <c r="C16" s="145">
        <f>A4</f>
        <v>202</v>
      </c>
      <c r="D16" s="16">
        <f>C16*B16</f>
        <v>8282</v>
      </c>
    </row>
    <row r="17" spans="1:4" x14ac:dyDescent="0.2">
      <c r="A17" s="14" t="s">
        <v>51</v>
      </c>
      <c r="B17" s="15">
        <v>11</v>
      </c>
      <c r="C17" s="145">
        <f>A4</f>
        <v>202</v>
      </c>
      <c r="D17" s="16">
        <f>C17*B17</f>
        <v>2222</v>
      </c>
    </row>
    <row r="18" spans="1:4" x14ac:dyDescent="0.2">
      <c r="A18" s="14" t="s">
        <v>52</v>
      </c>
      <c r="B18" s="15">
        <v>24</v>
      </c>
      <c r="C18" s="145">
        <f>A4</f>
        <v>202</v>
      </c>
      <c r="D18" s="16">
        <f>C18*B18</f>
        <v>4848</v>
      </c>
    </row>
    <row r="19" spans="1:4" x14ac:dyDescent="0.2">
      <c r="A19" s="22" t="s">
        <v>53</v>
      </c>
      <c r="B19" s="17">
        <v>12</v>
      </c>
      <c r="C19" s="17">
        <f>A4</f>
        <v>202</v>
      </c>
      <c r="D19" s="146">
        <f>B19*C19</f>
        <v>2424</v>
      </c>
    </row>
    <row r="20" spans="1:4" x14ac:dyDescent="0.2">
      <c r="A20" s="10" t="s">
        <v>54</v>
      </c>
    </row>
    <row r="49" spans="1:1" x14ac:dyDescent="0.2">
      <c r="A49" t="s">
        <v>55</v>
      </c>
    </row>
    <row r="50" spans="1:1" x14ac:dyDescent="0.2">
      <c r="A50" t="s">
        <v>56</v>
      </c>
    </row>
    <row r="51" spans="1:1" ht="15.75" x14ac:dyDescent="0.3">
      <c r="A51" s="2" t="s">
        <v>57</v>
      </c>
    </row>
    <row r="52" spans="1:1" ht="14.25" x14ac:dyDescent="0.2">
      <c r="A52" s="2" t="s">
        <v>58</v>
      </c>
    </row>
  </sheetData>
  <phoneticPr fontId="0" type="noConversion"/>
  <pageMargins left="0.75" right="0.75" top="1" bottom="1" header="0.4921259845" footer="0.4921259845"/>
  <pageSetup paperSize="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7"/>
  <sheetViews>
    <sheetView workbookViewId="0"/>
  </sheetViews>
  <sheetFormatPr defaultRowHeight="12.75" x14ac:dyDescent="0.2"/>
  <cols>
    <col min="1" max="1" width="16.7109375" customWidth="1"/>
    <col min="2" max="2" width="17.85546875" customWidth="1"/>
    <col min="3" max="3" width="19.140625" customWidth="1"/>
    <col min="4" max="4" width="9.28515625" customWidth="1"/>
    <col min="5" max="5" width="9" customWidth="1"/>
    <col min="6" max="6" width="9.5703125" customWidth="1"/>
    <col min="7" max="7" width="10.28515625" customWidth="1"/>
    <col min="8" max="8" width="13.7109375" customWidth="1"/>
    <col min="9" max="14" width="13.140625" customWidth="1"/>
    <col min="15" max="15" width="11.85546875" customWidth="1"/>
  </cols>
  <sheetData>
    <row r="1" spans="1:16" s="106" customFormat="1" ht="13.5" thickBot="1" x14ac:dyDescent="0.25">
      <c r="A1" s="105" t="s">
        <v>59</v>
      </c>
      <c r="B1" s="105"/>
      <c r="C1" s="105"/>
      <c r="D1" s="105"/>
      <c r="E1" s="105"/>
      <c r="F1" s="105"/>
      <c r="G1" s="105"/>
    </row>
    <row r="2" spans="1:16" x14ac:dyDescent="0.2">
      <c r="H2" s="28" t="s">
        <v>60</v>
      </c>
      <c r="I2" s="29" t="s">
        <v>61</v>
      </c>
      <c r="J2" s="28" t="s">
        <v>60</v>
      </c>
      <c r="K2" s="29" t="s">
        <v>61</v>
      </c>
      <c r="L2" s="28" t="s">
        <v>60</v>
      </c>
      <c r="M2" s="54" t="s">
        <v>61</v>
      </c>
      <c r="N2" s="28" t="s">
        <v>60</v>
      </c>
      <c r="O2" s="29" t="s">
        <v>61</v>
      </c>
    </row>
    <row r="3" spans="1:16" ht="39.75" x14ac:dyDescent="0.3">
      <c r="A3" s="17"/>
      <c r="B3" s="67" t="s">
        <v>62</v>
      </c>
      <c r="C3" s="67" t="s">
        <v>63</v>
      </c>
      <c r="D3" s="26" t="s">
        <v>64</v>
      </c>
      <c r="E3" s="26" t="s">
        <v>65</v>
      </c>
      <c r="F3" s="26" t="s">
        <v>66</v>
      </c>
      <c r="G3" s="27" t="s">
        <v>67</v>
      </c>
      <c r="H3" s="30" t="s">
        <v>68</v>
      </c>
      <c r="I3" s="31" t="s">
        <v>68</v>
      </c>
      <c r="J3" s="30" t="s">
        <v>69</v>
      </c>
      <c r="K3" s="31" t="s">
        <v>69</v>
      </c>
      <c r="L3" s="30" t="s">
        <v>70</v>
      </c>
      <c r="M3" s="55" t="s">
        <v>70</v>
      </c>
      <c r="N3" s="34" t="s">
        <v>71</v>
      </c>
      <c r="O3" s="35" t="s">
        <v>71</v>
      </c>
    </row>
    <row r="4" spans="1:16" x14ac:dyDescent="0.2">
      <c r="A4" s="20" t="s">
        <v>72</v>
      </c>
      <c r="B4" s="186"/>
      <c r="C4" s="186">
        <v>513.20000000000005</v>
      </c>
      <c r="D4" s="57">
        <v>6.4899999999999999E-2</v>
      </c>
      <c r="E4" s="187">
        <v>0</v>
      </c>
      <c r="F4" s="187">
        <v>0</v>
      </c>
      <c r="G4" s="183">
        <f>D4</f>
        <v>6.4899999999999999E-2</v>
      </c>
      <c r="H4" s="32">
        <f t="shared" ref="H4:H22" si="0">B4*D4</f>
        <v>0</v>
      </c>
      <c r="I4" s="33">
        <f>C4*D4/A32</f>
        <v>119.90404799999999</v>
      </c>
      <c r="J4" s="32">
        <f t="shared" ref="J4:J22" si="1">B4*E4</f>
        <v>0</v>
      </c>
      <c r="K4" s="33">
        <f>C4*E4/A32</f>
        <v>0</v>
      </c>
      <c r="L4" s="32">
        <f>B4*F4</f>
        <v>0</v>
      </c>
      <c r="M4" s="56">
        <f>C4*F4/A32</f>
        <v>0</v>
      </c>
      <c r="N4" s="36">
        <f>B4*G4</f>
        <v>0</v>
      </c>
      <c r="O4" s="37">
        <f>C4*G4/A32</f>
        <v>119.90404799999999</v>
      </c>
    </row>
    <row r="5" spans="1:16" x14ac:dyDescent="0.2">
      <c r="A5" s="20" t="s">
        <v>73</v>
      </c>
      <c r="B5" s="186"/>
      <c r="C5" s="186">
        <v>1792.0000000000002</v>
      </c>
      <c r="D5" s="57">
        <v>6.8599999999999994E-2</v>
      </c>
      <c r="E5" s="187"/>
      <c r="F5" s="187"/>
      <c r="G5" s="183">
        <f>D5</f>
        <v>6.8599999999999994E-2</v>
      </c>
      <c r="H5" s="32">
        <f t="shared" si="0"/>
        <v>0</v>
      </c>
      <c r="I5" s="33">
        <f>C5*D5/A32</f>
        <v>442.55232000000001</v>
      </c>
      <c r="J5" s="32"/>
      <c r="K5" s="33"/>
      <c r="L5" s="32"/>
      <c r="M5" s="56"/>
      <c r="N5" s="36">
        <f>B5*G5</f>
        <v>0</v>
      </c>
      <c r="O5" s="37">
        <f>C5*G5/A32</f>
        <v>442.55232000000001</v>
      </c>
    </row>
    <row r="6" spans="1:16" x14ac:dyDescent="0.2">
      <c r="A6" s="20" t="s">
        <v>74</v>
      </c>
      <c r="B6" s="186"/>
      <c r="C6" s="186">
        <v>23115</v>
      </c>
      <c r="D6" s="57">
        <v>6.5500000000000003E-2</v>
      </c>
      <c r="E6" s="187"/>
      <c r="F6" s="187"/>
      <c r="G6" s="183">
        <f>D6</f>
        <v>6.5500000000000003E-2</v>
      </c>
      <c r="H6" s="32">
        <f t="shared" ref="H6" si="2">B6*D6</f>
        <v>0</v>
      </c>
      <c r="I6" s="33">
        <f>C6*D6/A32</f>
        <v>5450.5169999999998</v>
      </c>
      <c r="J6" s="32"/>
      <c r="K6" s="33"/>
      <c r="L6" s="32"/>
      <c r="M6" s="56"/>
      <c r="N6" s="36">
        <f>B6*G6</f>
        <v>0</v>
      </c>
      <c r="O6" s="37"/>
    </row>
    <row r="7" spans="1:16" x14ac:dyDescent="0.2">
      <c r="A7" s="20" t="s">
        <v>75</v>
      </c>
      <c r="B7" s="186"/>
      <c r="C7" s="186"/>
      <c r="D7" s="57">
        <v>7.3099999999999998E-2</v>
      </c>
      <c r="E7" s="57">
        <f>(1/1000)/1000</f>
        <v>9.9999999999999995E-7</v>
      </c>
      <c r="F7" s="57">
        <f>(1/1000)/1000</f>
        <v>9.9999999999999995E-7</v>
      </c>
      <c r="G7" s="183">
        <f>1*D7+25*E7+298*F7</f>
        <v>7.3423000000000002E-2</v>
      </c>
      <c r="H7" s="32">
        <f t="shared" si="0"/>
        <v>0</v>
      </c>
      <c r="I7" s="33">
        <f>C7*D7/A32</f>
        <v>0</v>
      </c>
      <c r="J7" s="32">
        <f t="shared" si="1"/>
        <v>0</v>
      </c>
      <c r="K7" s="33">
        <f>C7*E7/A32</f>
        <v>0</v>
      </c>
      <c r="L7" s="32">
        <f t="shared" ref="L7:L22" si="3">B7*F7</f>
        <v>0</v>
      </c>
      <c r="M7" s="56">
        <f>C7*F7/A32</f>
        <v>0</v>
      </c>
      <c r="N7" s="36">
        <f t="shared" ref="N7:N22" si="4">B7*G7</f>
        <v>0</v>
      </c>
      <c r="O7" s="37">
        <f>C7*G7/A32</f>
        <v>0</v>
      </c>
      <c r="P7" s="11"/>
    </row>
    <row r="8" spans="1:16" ht="25.5" customHeight="1" x14ac:dyDescent="0.2">
      <c r="A8" s="188" t="s">
        <v>76</v>
      </c>
      <c r="B8" s="186"/>
      <c r="C8" s="186"/>
      <c r="D8" s="57">
        <v>7.9200000000000007E-2</v>
      </c>
      <c r="E8" s="57">
        <f>(1/1000)/1000</f>
        <v>9.9999999999999995E-7</v>
      </c>
      <c r="F8" s="57">
        <f>(1/1000)/1000</f>
        <v>9.9999999999999995E-7</v>
      </c>
      <c r="G8" s="183">
        <f>1*D8+25*E8+298*F8</f>
        <v>7.952300000000001E-2</v>
      </c>
      <c r="H8" s="32">
        <f t="shared" si="0"/>
        <v>0</v>
      </c>
      <c r="I8" s="33">
        <f>C8*D8/A32</f>
        <v>0</v>
      </c>
      <c r="J8" s="32">
        <f t="shared" si="1"/>
        <v>0</v>
      </c>
      <c r="K8" s="33">
        <f>C8*E8/A32</f>
        <v>0</v>
      </c>
      <c r="L8" s="32">
        <f t="shared" si="3"/>
        <v>0</v>
      </c>
      <c r="M8" s="56">
        <f>C8*F8/A32</f>
        <v>0</v>
      </c>
      <c r="N8" s="36">
        <f t="shared" si="4"/>
        <v>0</v>
      </c>
      <c r="O8" s="37">
        <f>C8*G8/A32</f>
        <v>0</v>
      </c>
    </row>
    <row r="9" spans="1:16" ht="25.5" customHeight="1" x14ac:dyDescent="0.2">
      <c r="A9" s="188" t="s">
        <v>77</v>
      </c>
      <c r="B9" s="186"/>
      <c r="C9" s="186"/>
      <c r="D9" s="57">
        <v>7.8399999999999997E-2</v>
      </c>
      <c r="E9" s="57">
        <v>9.9999999999999995E-7</v>
      </c>
      <c r="F9" s="57">
        <v>9.9999999999999995E-7</v>
      </c>
      <c r="G9" s="183"/>
      <c r="H9" s="32"/>
      <c r="I9" s="33"/>
      <c r="J9" s="32"/>
      <c r="K9" s="33"/>
      <c r="L9" s="32"/>
      <c r="M9" s="56"/>
      <c r="N9" s="36"/>
      <c r="O9" s="37"/>
    </row>
    <row r="10" spans="1:16" ht="25.5" customHeight="1" x14ac:dyDescent="0.2">
      <c r="A10" s="188" t="s">
        <v>78</v>
      </c>
      <c r="B10" s="186"/>
      <c r="C10" s="186"/>
      <c r="D10" s="57">
        <v>7.6100000000000001E-2</v>
      </c>
      <c r="E10" s="57">
        <v>9.9999999999999995E-7</v>
      </c>
      <c r="F10" s="57">
        <v>9.9999999999999995E-7</v>
      </c>
      <c r="G10" s="183"/>
      <c r="H10" s="32"/>
      <c r="I10" s="33"/>
      <c r="J10" s="32"/>
      <c r="K10" s="33"/>
      <c r="L10" s="32"/>
      <c r="M10" s="56"/>
      <c r="N10" s="36"/>
      <c r="O10" s="37"/>
    </row>
    <row r="11" spans="1:16" ht="24.75" customHeight="1" x14ac:dyDescent="0.2">
      <c r="A11" s="20" t="s">
        <v>79</v>
      </c>
      <c r="B11" s="186"/>
      <c r="C11" s="186"/>
      <c r="D11" s="57">
        <v>7.6999999999999999E-2</v>
      </c>
      <c r="E11" s="57">
        <v>9.9999999999999995E-7</v>
      </c>
      <c r="F11" s="57">
        <v>9.9999999999999995E-7</v>
      </c>
      <c r="G11" s="183"/>
      <c r="H11" s="32"/>
      <c r="I11" s="33"/>
      <c r="J11" s="32"/>
      <c r="K11" s="33"/>
      <c r="L11" s="32"/>
      <c r="M11" s="56"/>
      <c r="N11" s="36"/>
      <c r="O11" s="37"/>
    </row>
    <row r="12" spans="1:16" x14ac:dyDescent="0.2">
      <c r="A12" s="20" t="s">
        <v>80</v>
      </c>
      <c r="B12" s="186"/>
      <c r="C12" s="186"/>
      <c r="D12" s="57">
        <v>5.5300000000000002E-2</v>
      </c>
      <c r="E12" s="187">
        <v>0</v>
      </c>
      <c r="F12" s="187">
        <v>0</v>
      </c>
      <c r="G12" s="183">
        <f>D12</f>
        <v>5.5300000000000002E-2</v>
      </c>
      <c r="H12" s="32">
        <f t="shared" si="0"/>
        <v>0</v>
      </c>
      <c r="I12" s="33">
        <f>C12*D12/A32</f>
        <v>0</v>
      </c>
      <c r="J12" s="32">
        <f t="shared" si="1"/>
        <v>0</v>
      </c>
      <c r="K12" s="33">
        <f>C12*E12/A32</f>
        <v>0</v>
      </c>
      <c r="L12" s="32">
        <f t="shared" si="3"/>
        <v>0</v>
      </c>
      <c r="M12" s="56">
        <f>C12*F12/A32</f>
        <v>0</v>
      </c>
      <c r="N12" s="36">
        <f t="shared" si="4"/>
        <v>0</v>
      </c>
      <c r="O12" s="37">
        <f>C12*G12/A32</f>
        <v>0</v>
      </c>
    </row>
    <row r="13" spans="1:16" ht="24.75" customHeight="1" x14ac:dyDescent="0.2">
      <c r="A13" s="20" t="s">
        <v>81</v>
      </c>
      <c r="B13" s="186"/>
      <c r="C13" s="186"/>
      <c r="D13" s="57">
        <v>5.5800000000000002E-2</v>
      </c>
      <c r="E13" s="187">
        <v>0</v>
      </c>
      <c r="F13" s="187">
        <v>0</v>
      </c>
      <c r="G13" s="183">
        <v>5.5800000000000002E-2</v>
      </c>
      <c r="H13" s="32"/>
      <c r="I13" s="33"/>
      <c r="J13" s="32"/>
      <c r="K13" s="33"/>
      <c r="L13" s="32"/>
      <c r="M13" s="56"/>
      <c r="N13" s="36"/>
      <c r="O13" s="37"/>
    </row>
    <row r="14" spans="1:16" x14ac:dyDescent="0.2">
      <c r="A14" s="20" t="s">
        <v>82</v>
      </c>
      <c r="B14" s="186"/>
      <c r="C14" s="186"/>
      <c r="D14" s="57">
        <v>0.1076</v>
      </c>
      <c r="E14" s="57">
        <f>(4/1000)/1000</f>
        <v>3.9999999999999998E-6</v>
      </c>
      <c r="F14" s="57">
        <f>(3/1000)/1000</f>
        <v>3.0000000000000001E-6</v>
      </c>
      <c r="G14" s="183">
        <f>1*D14+25*E14+298*F14</f>
        <v>0.10859400000000001</v>
      </c>
      <c r="H14" s="32">
        <f t="shared" si="0"/>
        <v>0</v>
      </c>
      <c r="I14" s="33">
        <f>C14*D14/A32</f>
        <v>0</v>
      </c>
      <c r="J14" s="32">
        <f t="shared" si="1"/>
        <v>0</v>
      </c>
      <c r="K14" s="33">
        <f>C14*E14/A32</f>
        <v>0</v>
      </c>
      <c r="L14" s="32">
        <f t="shared" si="3"/>
        <v>0</v>
      </c>
      <c r="M14" s="56">
        <f>C14*F14/A32</f>
        <v>0</v>
      </c>
      <c r="N14" s="36">
        <f t="shared" si="4"/>
        <v>0</v>
      </c>
      <c r="O14" s="37">
        <f>C14*G14/A32</f>
        <v>0</v>
      </c>
    </row>
    <row r="15" spans="1:16" x14ac:dyDescent="0.2">
      <c r="A15" s="20" t="s">
        <v>83</v>
      </c>
      <c r="B15" s="186"/>
      <c r="C15" s="186"/>
      <c r="D15" s="57">
        <v>0.1032</v>
      </c>
      <c r="E15" s="57"/>
      <c r="F15" s="57"/>
      <c r="G15" s="183"/>
      <c r="H15" s="32"/>
      <c r="I15" s="33"/>
      <c r="J15" s="32"/>
      <c r="K15" s="33"/>
      <c r="L15" s="32"/>
      <c r="M15" s="56"/>
      <c r="N15" s="36"/>
      <c r="O15" s="37"/>
    </row>
    <row r="16" spans="1:16" ht="25.5" customHeight="1" x14ac:dyDescent="0.2">
      <c r="A16" s="20" t="s">
        <v>84</v>
      </c>
      <c r="B16" s="186"/>
      <c r="C16" s="186"/>
      <c r="D16" s="57">
        <v>9.7000000000000003E-2</v>
      </c>
      <c r="E16" s="57"/>
      <c r="F16" s="57"/>
      <c r="G16" s="183"/>
      <c r="H16" s="32"/>
      <c r="I16" s="33"/>
      <c r="J16" s="32"/>
      <c r="K16" s="33"/>
      <c r="L16" s="32"/>
      <c r="M16" s="56"/>
      <c r="N16" s="36"/>
      <c r="O16" s="37"/>
    </row>
    <row r="17" spans="1:16" ht="25.5" x14ac:dyDescent="0.2">
      <c r="A17" s="26" t="s">
        <v>517</v>
      </c>
      <c r="B17" s="186"/>
      <c r="C17" s="189">
        <v>119000</v>
      </c>
      <c r="D17" s="57">
        <v>0.112</v>
      </c>
      <c r="E17" s="57">
        <f>(2/1000)/1000</f>
        <v>1.9999999999999999E-6</v>
      </c>
      <c r="F17" s="57">
        <f>(3/1000)/1000</f>
        <v>3.0000000000000001E-6</v>
      </c>
      <c r="G17" s="183">
        <f>1*D17+25*E17+298*F17</f>
        <v>0.112944</v>
      </c>
      <c r="H17" s="139">
        <f t="shared" si="0"/>
        <v>0</v>
      </c>
      <c r="I17" s="140">
        <f>C17*D17/A32</f>
        <v>47980.799999999996</v>
      </c>
      <c r="J17" s="139">
        <f t="shared" si="1"/>
        <v>0</v>
      </c>
      <c r="K17" s="140">
        <f>C17*E17/A32</f>
        <v>0.8567999999999999</v>
      </c>
      <c r="L17" s="139">
        <f t="shared" si="3"/>
        <v>0</v>
      </c>
      <c r="M17" s="141">
        <f>C17*F17/A32</f>
        <v>1.2851999999999999</v>
      </c>
      <c r="N17" s="139">
        <f t="shared" si="4"/>
        <v>0</v>
      </c>
      <c r="O17" s="140">
        <f>C17*G17/A32</f>
        <v>48385.209600000002</v>
      </c>
      <c r="P17" s="11" t="s">
        <v>85</v>
      </c>
    </row>
    <row r="18" spans="1:16" ht="25.5" customHeight="1" x14ac:dyDescent="0.2">
      <c r="A18" s="26" t="s">
        <v>86</v>
      </c>
      <c r="B18" s="186"/>
      <c r="C18" s="186"/>
      <c r="D18" s="57">
        <v>0.11</v>
      </c>
      <c r="E18" s="57">
        <f>(2/1000)/1000</f>
        <v>1.9999999999999999E-6</v>
      </c>
      <c r="F18" s="57">
        <f>(3/1000)/1000</f>
        <v>3.0000000000000001E-6</v>
      </c>
      <c r="G18" s="183">
        <f>1*D18+25*E18+298*F18</f>
        <v>0.110944</v>
      </c>
      <c r="H18" s="139">
        <f t="shared" si="0"/>
        <v>0</v>
      </c>
      <c r="I18" s="140">
        <f>C18*D18/A32</f>
        <v>0</v>
      </c>
      <c r="J18" s="139">
        <f t="shared" si="1"/>
        <v>0</v>
      </c>
      <c r="K18" s="140">
        <f>C18*E18/A32</f>
        <v>0</v>
      </c>
      <c r="L18" s="139">
        <f t="shared" si="3"/>
        <v>0</v>
      </c>
      <c r="M18" s="141">
        <f>C18*F18/A32</f>
        <v>0</v>
      </c>
      <c r="N18" s="139">
        <f t="shared" si="4"/>
        <v>0</v>
      </c>
      <c r="O18" s="140">
        <f>C18*G18/A32</f>
        <v>0</v>
      </c>
      <c r="P18" s="11"/>
    </row>
    <row r="19" spans="1:16" ht="25.5" customHeight="1" x14ac:dyDescent="0.2">
      <c r="A19" s="26" t="s">
        <v>87</v>
      </c>
      <c r="B19" s="186"/>
      <c r="C19" s="186"/>
      <c r="D19" s="57">
        <v>0.1</v>
      </c>
      <c r="E19" s="57"/>
      <c r="F19" s="57"/>
      <c r="G19" s="183"/>
      <c r="H19" s="165"/>
      <c r="I19" s="166"/>
      <c r="J19" s="139"/>
      <c r="K19" s="140"/>
      <c r="L19" s="139"/>
      <c r="M19" s="141"/>
      <c r="N19" s="139"/>
      <c r="O19" s="140"/>
      <c r="P19" s="11"/>
    </row>
    <row r="20" spans="1:16" ht="25.5" customHeight="1" x14ac:dyDescent="0.2">
      <c r="A20" s="26" t="s">
        <v>88</v>
      </c>
      <c r="B20" s="186"/>
      <c r="C20" s="186"/>
      <c r="D20" s="57">
        <v>7.1999999999999995E-2</v>
      </c>
      <c r="E20" s="57"/>
      <c r="F20" s="57"/>
      <c r="G20" s="183"/>
      <c r="H20" s="165"/>
      <c r="I20" s="166"/>
      <c r="J20" s="139"/>
      <c r="K20" s="140"/>
      <c r="L20" s="139"/>
      <c r="M20" s="141"/>
      <c r="N20" s="139"/>
      <c r="O20" s="140"/>
      <c r="P20" s="11"/>
    </row>
    <row r="21" spans="1:16" ht="25.5" customHeight="1" x14ac:dyDescent="0.2">
      <c r="A21" s="26" t="s">
        <v>89</v>
      </c>
      <c r="B21" s="186"/>
      <c r="C21" s="186"/>
      <c r="D21" s="57">
        <v>0.1</v>
      </c>
      <c r="E21" s="57"/>
      <c r="F21" s="57"/>
      <c r="G21" s="183"/>
      <c r="H21" s="165"/>
      <c r="I21" s="166"/>
      <c r="J21" s="139"/>
      <c r="K21" s="140"/>
      <c r="L21" s="139"/>
      <c r="M21" s="141"/>
      <c r="N21" s="139"/>
      <c r="O21" s="140"/>
      <c r="P21" s="11"/>
    </row>
    <row r="22" spans="1:16" x14ac:dyDescent="0.2">
      <c r="A22" s="20" t="s">
        <v>518</v>
      </c>
      <c r="B22" s="186"/>
      <c r="C22" s="186"/>
      <c r="D22" s="57">
        <v>5.4600000000000003E-2</v>
      </c>
      <c r="E22" s="57">
        <f>(2/1000)/1000</f>
        <v>1.9999999999999999E-6</v>
      </c>
      <c r="F22" s="57">
        <f>(3/1000)/1000</f>
        <v>3.0000000000000001E-6</v>
      </c>
      <c r="G22" s="183">
        <f>1*D22+25*E22+298*F22</f>
        <v>5.5544000000000003E-2</v>
      </c>
      <c r="H22" s="142">
        <f t="shared" si="0"/>
        <v>0</v>
      </c>
      <c r="I22" s="143">
        <f>C22*D22/A32</f>
        <v>0</v>
      </c>
      <c r="J22" s="139">
        <f t="shared" si="1"/>
        <v>0</v>
      </c>
      <c r="K22" s="140">
        <f>C22*E22/A32</f>
        <v>0</v>
      </c>
      <c r="L22" s="139">
        <f t="shared" si="3"/>
        <v>0</v>
      </c>
      <c r="M22" s="141">
        <f>C22*F22/A32</f>
        <v>0</v>
      </c>
      <c r="N22" s="139">
        <f t="shared" si="4"/>
        <v>0</v>
      </c>
      <c r="O22" s="140">
        <f>C22*G22/A32</f>
        <v>0</v>
      </c>
      <c r="P22" s="11"/>
    </row>
    <row r="23" spans="1:16" ht="13.5" thickBot="1" x14ac:dyDescent="0.25">
      <c r="A23" s="89"/>
      <c r="B23" s="89"/>
      <c r="C23" s="89"/>
      <c r="D23" s="89"/>
      <c r="E23" s="89"/>
      <c r="F23" s="89"/>
      <c r="G23" s="89"/>
      <c r="N23" s="38"/>
      <c r="O23" s="39"/>
    </row>
    <row r="24" spans="1:16" ht="14.25" x14ac:dyDescent="0.25">
      <c r="A24" s="7" t="s">
        <v>90</v>
      </c>
      <c r="B24" s="7"/>
      <c r="C24" s="7"/>
      <c r="D24" s="190"/>
      <c r="E24" s="190"/>
      <c r="F24" s="190"/>
      <c r="G24" s="190"/>
      <c r="H24" s="40">
        <f>SUMIF(H4:I14,"&gt;0")</f>
        <v>6012.9733679999999</v>
      </c>
      <c r="I24" s="41" t="s">
        <v>91</v>
      </c>
      <c r="J24" s="40">
        <f>SUMIF(J4:K14,"&gt;0")</f>
        <v>0</v>
      </c>
      <c r="K24" s="42" t="s">
        <v>92</v>
      </c>
      <c r="L24" s="40">
        <f>SUMIF(L4:M14,"&gt;0")</f>
        <v>0</v>
      </c>
      <c r="M24" s="42" t="s">
        <v>93</v>
      </c>
      <c r="N24" s="149">
        <f>SUMIF(N4:O14,"&gt;0")</f>
        <v>562.456368</v>
      </c>
      <c r="O24" s="150" t="s">
        <v>94</v>
      </c>
    </row>
    <row r="25" spans="1:16" ht="16.5" thickBot="1" x14ac:dyDescent="0.35">
      <c r="A25" s="151" t="s">
        <v>95</v>
      </c>
      <c r="B25" s="151"/>
      <c r="C25" s="151"/>
      <c r="D25" s="151"/>
      <c r="E25" s="151"/>
      <c r="F25" s="151"/>
      <c r="G25" s="151"/>
      <c r="H25" s="152">
        <f>SUMIF(H17:I22,"&gt;0")</f>
        <v>47980.799999999996</v>
      </c>
      <c r="I25" s="153" t="s">
        <v>96</v>
      </c>
      <c r="J25" s="152">
        <f>SUMIF(J17:K22,"&gt;0")</f>
        <v>0.8567999999999999</v>
      </c>
      <c r="K25" s="154" t="s">
        <v>97</v>
      </c>
      <c r="L25" s="152">
        <f>SUMIF(L17:M22,"&gt;0")</f>
        <v>1.2851999999999999</v>
      </c>
      <c r="M25" s="154" t="s">
        <v>98</v>
      </c>
      <c r="N25" s="155">
        <f>SUMIF(N17:O22,"&gt;0")</f>
        <v>48385.209600000002</v>
      </c>
      <c r="O25" s="156" t="s">
        <v>17</v>
      </c>
    </row>
    <row r="26" spans="1:16" s="9" customFormat="1" ht="15" thickBot="1" x14ac:dyDescent="0.3">
      <c r="A26" s="97" t="s">
        <v>99</v>
      </c>
      <c r="B26" s="103"/>
      <c r="C26" s="103"/>
      <c r="D26" s="103"/>
      <c r="E26" s="103"/>
      <c r="F26" s="103"/>
      <c r="G26" s="103"/>
      <c r="H26" s="97"/>
      <c r="I26" s="97"/>
      <c r="J26" s="97"/>
      <c r="K26" s="97"/>
      <c r="L26" s="97"/>
      <c r="M26" s="97"/>
      <c r="N26" s="147">
        <f>N25-H25</f>
        <v>404.40960000000632</v>
      </c>
      <c r="O26" s="148" t="s">
        <v>94</v>
      </c>
    </row>
    <row r="27" spans="1:16" s="9" customFormat="1" x14ac:dyDescent="0.2">
      <c r="A27" s="8"/>
      <c r="H27" s="8"/>
      <c r="I27" s="8"/>
      <c r="J27" s="8"/>
      <c r="K27" s="8"/>
      <c r="L27" s="8"/>
      <c r="M27" s="8"/>
      <c r="N27" s="8"/>
    </row>
    <row r="28" spans="1:16" ht="14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6" x14ac:dyDescent="0.2">
      <c r="A29" t="s">
        <v>100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1" spans="1:16" x14ac:dyDescent="0.2">
      <c r="A31" t="s">
        <v>101</v>
      </c>
      <c r="C31" t="s">
        <v>102</v>
      </c>
    </row>
    <row r="32" spans="1:16" x14ac:dyDescent="0.2">
      <c r="A32" s="6">
        <f>1/3.6</f>
        <v>0.27777777777777779</v>
      </c>
      <c r="B32" t="s">
        <v>61</v>
      </c>
      <c r="C32" s="6">
        <v>3.6</v>
      </c>
      <c r="D32" t="s">
        <v>60</v>
      </c>
    </row>
    <row r="33" spans="1:15" x14ac:dyDescent="0.2">
      <c r="A33" s="6"/>
    </row>
    <row r="34" spans="1:15" x14ac:dyDescent="0.2">
      <c r="A34" s="105" t="s">
        <v>103</v>
      </c>
      <c r="J34" s="11"/>
      <c r="K34" s="11"/>
      <c r="L34" s="11"/>
      <c r="M34" s="11"/>
      <c r="N34" s="11"/>
    </row>
    <row r="35" spans="1:15" x14ac:dyDescent="0.2">
      <c r="J35" s="11"/>
      <c r="K35" s="11"/>
      <c r="L35" s="11"/>
      <c r="M35" s="11"/>
      <c r="N35" s="11"/>
    </row>
    <row r="36" spans="1:15" x14ac:dyDescent="0.2">
      <c r="A36" s="64" t="s">
        <v>104</v>
      </c>
      <c r="G36" s="11"/>
      <c r="H36" s="11"/>
      <c r="I36" s="11"/>
      <c r="J36" s="63"/>
      <c r="K36" s="63"/>
      <c r="L36" s="63"/>
      <c r="M36" s="63"/>
      <c r="N36" s="63"/>
      <c r="O36" s="63"/>
    </row>
    <row r="37" spans="1:15" x14ac:dyDescent="0.2">
      <c r="D37" t="s">
        <v>105</v>
      </c>
      <c r="F37" t="s">
        <v>106</v>
      </c>
      <c r="G37" s="11"/>
      <c r="H37" s="11" t="s">
        <v>107</v>
      </c>
      <c r="I37" s="11"/>
      <c r="J37" s="44"/>
      <c r="K37" s="44"/>
      <c r="L37" s="44"/>
      <c r="M37" s="44"/>
      <c r="N37" s="44"/>
      <c r="O37" s="44"/>
    </row>
    <row r="38" spans="1:15" x14ac:dyDescent="0.2">
      <c r="A38" t="s">
        <v>73</v>
      </c>
      <c r="B38">
        <v>8.9600000000000009</v>
      </c>
      <c r="C38" t="s">
        <v>108</v>
      </c>
      <c r="F38" s="66">
        <v>200</v>
      </c>
      <c r="G38" s="3" t="s">
        <v>109</v>
      </c>
      <c r="H38" s="68">
        <f>B38*F38</f>
        <v>1792.0000000000002</v>
      </c>
      <c r="I38" s="63"/>
    </row>
    <row r="39" spans="1:15" x14ac:dyDescent="0.2">
      <c r="A39" t="s">
        <v>74</v>
      </c>
      <c r="B39">
        <v>10.050000000000001</v>
      </c>
      <c r="C39" t="s">
        <v>108</v>
      </c>
      <c r="F39" s="66">
        <v>2300</v>
      </c>
      <c r="G39" s="44" t="s">
        <v>109</v>
      </c>
      <c r="H39" s="68">
        <f t="shared" ref="H39:H54" si="5">B39*F39</f>
        <v>23115</v>
      </c>
      <c r="I39" s="44"/>
    </row>
    <row r="40" spans="1:15" x14ac:dyDescent="0.2">
      <c r="A40" t="s">
        <v>110</v>
      </c>
      <c r="B40">
        <v>12.83</v>
      </c>
      <c r="C40" t="s">
        <v>111</v>
      </c>
      <c r="F40" s="66">
        <v>40</v>
      </c>
      <c r="G40" s="3" t="s">
        <v>112</v>
      </c>
      <c r="H40" s="68">
        <f t="shared" si="5"/>
        <v>513.20000000000005</v>
      </c>
    </row>
    <row r="41" spans="1:15" x14ac:dyDescent="0.2">
      <c r="A41" t="s">
        <v>75</v>
      </c>
      <c r="B41">
        <v>10.02</v>
      </c>
      <c r="C41" t="s">
        <v>108</v>
      </c>
      <c r="F41" s="66"/>
      <c r="G41" s="3" t="s">
        <v>109</v>
      </c>
      <c r="H41" s="68">
        <f t="shared" si="5"/>
        <v>0</v>
      </c>
    </row>
    <row r="42" spans="1:15" x14ac:dyDescent="0.2">
      <c r="A42" t="s">
        <v>113</v>
      </c>
      <c r="B42">
        <v>11.42</v>
      </c>
      <c r="C42" t="s">
        <v>111</v>
      </c>
      <c r="F42" s="66"/>
      <c r="G42" s="3" t="s">
        <v>112</v>
      </c>
      <c r="H42" s="68">
        <f t="shared" si="5"/>
        <v>0</v>
      </c>
    </row>
    <row r="43" spans="1:15" x14ac:dyDescent="0.2">
      <c r="A43" t="s">
        <v>80</v>
      </c>
      <c r="B43">
        <v>10</v>
      </c>
      <c r="C43" t="s">
        <v>114</v>
      </c>
      <c r="F43" s="66"/>
      <c r="G43" s="3" t="s">
        <v>115</v>
      </c>
      <c r="H43" s="68">
        <f t="shared" si="5"/>
        <v>0</v>
      </c>
    </row>
    <row r="44" spans="1:15" x14ac:dyDescent="0.2">
      <c r="A44" t="s">
        <v>116</v>
      </c>
      <c r="B44">
        <f>(4.4+7.4)/2</f>
        <v>5.9</v>
      </c>
      <c r="C44" t="s">
        <v>114</v>
      </c>
      <c r="F44" s="66"/>
      <c r="G44" s="3" t="s">
        <v>115</v>
      </c>
      <c r="H44" s="68">
        <f t="shared" si="5"/>
        <v>0</v>
      </c>
    </row>
    <row r="45" spans="1:15" x14ac:dyDescent="0.2">
      <c r="A45" t="s">
        <v>117</v>
      </c>
      <c r="B45">
        <v>7.08</v>
      </c>
      <c r="C45" t="s">
        <v>111</v>
      </c>
      <c r="D45">
        <v>10</v>
      </c>
      <c r="F45" s="66"/>
      <c r="G45" s="3" t="s">
        <v>112</v>
      </c>
      <c r="H45" s="68">
        <f t="shared" si="5"/>
        <v>0</v>
      </c>
    </row>
    <row r="46" spans="1:15" x14ac:dyDescent="0.2">
      <c r="A46" t="s">
        <v>82</v>
      </c>
      <c r="B46">
        <v>2.7</v>
      </c>
      <c r="C46" t="s">
        <v>111</v>
      </c>
      <c r="D46">
        <v>48.5</v>
      </c>
      <c r="F46" s="66"/>
      <c r="G46" s="3" t="s">
        <v>112</v>
      </c>
      <c r="H46" s="68">
        <f t="shared" si="5"/>
        <v>0</v>
      </c>
    </row>
    <row r="47" spans="1:15" x14ac:dyDescent="0.2">
      <c r="A47" t="s">
        <v>83</v>
      </c>
      <c r="B47">
        <v>3.3</v>
      </c>
      <c r="C47" t="s">
        <v>111</v>
      </c>
      <c r="D47">
        <v>38.9</v>
      </c>
      <c r="F47" s="66"/>
      <c r="G47" s="3" t="s">
        <v>112</v>
      </c>
      <c r="H47" s="68">
        <f t="shared" si="5"/>
        <v>0</v>
      </c>
    </row>
    <row r="48" spans="1:15" x14ac:dyDescent="0.2">
      <c r="A48" t="s">
        <v>118</v>
      </c>
      <c r="B48">
        <v>4.7</v>
      </c>
      <c r="C48" t="s">
        <v>111</v>
      </c>
      <c r="D48">
        <v>9</v>
      </c>
      <c r="F48" s="66"/>
      <c r="G48" s="3" t="s">
        <v>112</v>
      </c>
      <c r="H48" s="68">
        <f t="shared" si="5"/>
        <v>0</v>
      </c>
    </row>
    <row r="49" spans="1:8" x14ac:dyDescent="0.2">
      <c r="A49" t="s">
        <v>119</v>
      </c>
      <c r="B49">
        <v>700</v>
      </c>
      <c r="C49" t="s">
        <v>120</v>
      </c>
      <c r="D49">
        <v>40</v>
      </c>
      <c r="F49" s="66"/>
      <c r="G49" s="3" t="s">
        <v>121</v>
      </c>
      <c r="H49" s="68">
        <f t="shared" si="5"/>
        <v>0</v>
      </c>
    </row>
    <row r="50" spans="1:8" x14ac:dyDescent="0.2">
      <c r="A50" t="s">
        <v>122</v>
      </c>
      <c r="B50">
        <v>1300</v>
      </c>
      <c r="C50" t="s">
        <v>123</v>
      </c>
      <c r="D50">
        <v>20</v>
      </c>
      <c r="F50" s="66"/>
      <c r="G50" s="3" t="s">
        <v>124</v>
      </c>
      <c r="H50" s="68">
        <f t="shared" si="5"/>
        <v>0</v>
      </c>
    </row>
    <row r="51" spans="1:8" x14ac:dyDescent="0.2">
      <c r="A51" t="s">
        <v>125</v>
      </c>
      <c r="B51">
        <v>1700</v>
      </c>
      <c r="C51" t="s">
        <v>123</v>
      </c>
      <c r="D51">
        <v>20</v>
      </c>
      <c r="F51" s="66">
        <v>70</v>
      </c>
      <c r="G51" s="3" t="s">
        <v>124</v>
      </c>
      <c r="H51" s="68">
        <f t="shared" si="5"/>
        <v>119000</v>
      </c>
    </row>
    <row r="52" spans="1:8" x14ac:dyDescent="0.2">
      <c r="A52" t="s">
        <v>126</v>
      </c>
      <c r="B52">
        <v>4.0999999999999996</v>
      </c>
      <c r="C52" t="s">
        <v>111</v>
      </c>
      <c r="D52">
        <v>14</v>
      </c>
      <c r="F52" s="66"/>
      <c r="G52" s="3" t="s">
        <v>112</v>
      </c>
      <c r="H52" s="68">
        <f t="shared" si="5"/>
        <v>0</v>
      </c>
    </row>
    <row r="53" spans="1:8" x14ac:dyDescent="0.2">
      <c r="A53" t="s">
        <v>127</v>
      </c>
      <c r="B53">
        <v>3.6</v>
      </c>
      <c r="C53" t="s">
        <v>111</v>
      </c>
      <c r="D53">
        <v>20</v>
      </c>
      <c r="F53" s="66"/>
      <c r="G53" s="3" t="s">
        <v>112</v>
      </c>
      <c r="H53" s="68">
        <f t="shared" si="5"/>
        <v>0</v>
      </c>
    </row>
    <row r="54" spans="1:8" x14ac:dyDescent="0.2">
      <c r="A54" t="s">
        <v>128</v>
      </c>
      <c r="B54">
        <v>3.8</v>
      </c>
      <c r="C54" t="s">
        <v>111</v>
      </c>
      <c r="D54">
        <v>20</v>
      </c>
      <c r="F54" s="66"/>
      <c r="G54" s="3" t="s">
        <v>112</v>
      </c>
      <c r="H54" s="68">
        <f t="shared" si="5"/>
        <v>0</v>
      </c>
    </row>
    <row r="56" spans="1:8" x14ac:dyDescent="0.2">
      <c r="D56" t="s">
        <v>129</v>
      </c>
      <c r="E56" t="s">
        <v>130</v>
      </c>
      <c r="F56" t="s">
        <v>131</v>
      </c>
    </row>
    <row r="57" spans="1:8" x14ac:dyDescent="0.2">
      <c r="A57" t="s">
        <v>132</v>
      </c>
      <c r="D57">
        <v>1</v>
      </c>
      <c r="E57">
        <v>0.6</v>
      </c>
      <c r="F57">
        <v>0.4</v>
      </c>
      <c r="H57">
        <f>3*0.6</f>
        <v>1.7999999999999998</v>
      </c>
    </row>
    <row r="58" spans="1:8" x14ac:dyDescent="0.2">
      <c r="A58" t="s">
        <v>133</v>
      </c>
      <c r="D58">
        <v>1.68</v>
      </c>
      <c r="E58">
        <v>1</v>
      </c>
      <c r="F58">
        <v>0.67</v>
      </c>
    </row>
    <row r="59" spans="1:8" x14ac:dyDescent="0.2">
      <c r="A59" t="s">
        <v>134</v>
      </c>
      <c r="D59">
        <v>1.55</v>
      </c>
      <c r="E59">
        <v>1</v>
      </c>
      <c r="F59">
        <v>0.62</v>
      </c>
    </row>
    <row r="60" spans="1:8" x14ac:dyDescent="0.2">
      <c r="A60" t="s">
        <v>135</v>
      </c>
      <c r="D60">
        <v>2.5</v>
      </c>
      <c r="E60">
        <v>1.5</v>
      </c>
      <c r="F60">
        <v>1</v>
      </c>
    </row>
    <row r="74" spans="1:1" x14ac:dyDescent="0.2">
      <c r="A74" t="s">
        <v>55</v>
      </c>
    </row>
    <row r="75" spans="1:1" ht="14.25" x14ac:dyDescent="0.2">
      <c r="A75" s="2" t="s">
        <v>136</v>
      </c>
    </row>
    <row r="76" spans="1:1" ht="14.25" x14ac:dyDescent="0.2">
      <c r="A76" s="2" t="s">
        <v>137</v>
      </c>
    </row>
    <row r="77" spans="1:1" ht="15.75" x14ac:dyDescent="0.3">
      <c r="A77" s="2" t="s">
        <v>138</v>
      </c>
    </row>
  </sheetData>
  <phoneticPr fontId="0" type="noConversion"/>
  <hyperlinks>
    <hyperlink ref="A36" r:id="rId1" xr:uid="{00000000-0004-0000-0300-000000000000}"/>
  </hyperlinks>
  <pageMargins left="0.75" right="0.75" top="1" bottom="1" header="0.4921259845" footer="0.4921259845"/>
  <pageSetup paperSize="8" orientation="landscape" r:id="rId2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V69"/>
  <sheetViews>
    <sheetView workbookViewId="0">
      <selection activeCell="C5" sqref="C5:C10"/>
    </sheetView>
  </sheetViews>
  <sheetFormatPr defaultRowHeight="12.75" x14ac:dyDescent="0.2"/>
  <cols>
    <col min="1" max="1" width="36.28515625" customWidth="1"/>
    <col min="2" max="2" width="13.85546875" customWidth="1"/>
    <col min="3" max="3" width="12.85546875" customWidth="1"/>
    <col min="4" max="4" width="15.85546875" customWidth="1"/>
    <col min="5" max="5" width="12" customWidth="1"/>
    <col min="6" max="6" width="11.85546875" customWidth="1"/>
    <col min="7" max="7" width="15.85546875" customWidth="1"/>
    <col min="8" max="8" width="15.140625" customWidth="1"/>
    <col min="9" max="9" width="12" customWidth="1"/>
    <col min="10" max="10" width="13.42578125" customWidth="1"/>
  </cols>
  <sheetData>
    <row r="2" spans="1:255" s="91" customFormat="1" x14ac:dyDescent="0.2">
      <c r="A2" s="92" t="s">
        <v>139</v>
      </c>
    </row>
    <row r="3" spans="1:255" x14ac:dyDescent="0.2">
      <c r="A3" s="10" t="s">
        <v>140</v>
      </c>
    </row>
    <row r="4" spans="1:255" ht="15" x14ac:dyDescent="0.25">
      <c r="A4" s="13" t="s">
        <v>141</v>
      </c>
      <c r="B4" s="13" t="s">
        <v>142</v>
      </c>
      <c r="C4" s="13" t="s">
        <v>143</v>
      </c>
      <c r="D4" s="13" t="s">
        <v>144</v>
      </c>
    </row>
    <row r="5" spans="1:255" x14ac:dyDescent="0.2">
      <c r="A5" s="22" t="s">
        <v>145</v>
      </c>
      <c r="B5" s="80">
        <v>30</v>
      </c>
      <c r="C5" s="57">
        <v>0.17399999999999999</v>
      </c>
      <c r="D5" s="81">
        <f>B5*C5</f>
        <v>5.22</v>
      </c>
      <c r="G5">
        <f>4500*40*12/1000</f>
        <v>2160</v>
      </c>
    </row>
    <row r="6" spans="1:255" x14ac:dyDescent="0.2">
      <c r="A6" s="22" t="s">
        <v>146</v>
      </c>
      <c r="B6" s="66"/>
      <c r="C6" s="57">
        <v>0.09</v>
      </c>
      <c r="D6" s="81">
        <f>B6*C6</f>
        <v>0</v>
      </c>
    </row>
    <row r="7" spans="1:255" x14ac:dyDescent="0.2">
      <c r="A7" s="22" t="s">
        <v>147</v>
      </c>
      <c r="B7" s="66"/>
      <c r="C7" s="57">
        <v>4.9000000000000002E-2</v>
      </c>
      <c r="D7" s="81">
        <f>B7*C7</f>
        <v>0</v>
      </c>
      <c r="Q7" s="11"/>
      <c r="Y7" s="11"/>
      <c r="AG7" s="11"/>
      <c r="AO7" s="11"/>
      <c r="AW7" s="11"/>
      <c r="BE7" s="11"/>
      <c r="BM7" s="11"/>
      <c r="BU7" s="11"/>
      <c r="CC7" s="11"/>
      <c r="CK7" s="11"/>
      <c r="CS7" s="11"/>
      <c r="DA7" s="11"/>
      <c r="DI7" s="11"/>
      <c r="DQ7" s="11"/>
      <c r="DY7" s="11"/>
      <c r="EG7" s="11"/>
      <c r="EO7" s="11"/>
      <c r="EW7" s="11"/>
      <c r="FE7" s="11"/>
      <c r="FM7" s="11"/>
      <c r="FU7" s="11"/>
      <c r="GC7" s="11"/>
      <c r="GK7" s="11"/>
      <c r="GS7" s="11"/>
      <c r="HA7" s="11"/>
      <c r="HI7" s="11"/>
      <c r="HQ7" s="11"/>
      <c r="HY7" s="11"/>
      <c r="IG7" s="11"/>
      <c r="IO7" s="11"/>
    </row>
    <row r="8" spans="1:255" x14ac:dyDescent="0.2">
      <c r="A8" s="22" t="s">
        <v>148</v>
      </c>
      <c r="B8" s="66"/>
      <c r="C8" s="57">
        <v>3.7999999999999999E-2</v>
      </c>
      <c r="D8" s="81">
        <f>B8*C8</f>
        <v>0</v>
      </c>
    </row>
    <row r="9" spans="1:255" x14ac:dyDescent="0.2">
      <c r="A9" s="22" t="s">
        <v>149</v>
      </c>
      <c r="B9" s="66"/>
      <c r="C9" s="57">
        <v>0.03</v>
      </c>
      <c r="D9" s="82">
        <f>B9*C9</f>
        <v>0</v>
      </c>
      <c r="N9" s="3"/>
      <c r="O9" s="3"/>
      <c r="R9" s="3"/>
      <c r="S9" s="43"/>
      <c r="T9" s="3"/>
      <c r="U9" s="44"/>
      <c r="V9" s="3"/>
      <c r="W9" s="3"/>
      <c r="Z9" s="3"/>
      <c r="AA9" s="43"/>
      <c r="AB9" s="3"/>
      <c r="AC9" s="44"/>
      <c r="AD9" s="3"/>
      <c r="AE9" s="3"/>
      <c r="AH9" s="3"/>
      <c r="AI9" s="43"/>
      <c r="AJ9" s="3"/>
      <c r="AK9" s="44"/>
      <c r="AL9" s="3"/>
      <c r="AM9" s="3"/>
      <c r="AP9" s="3"/>
      <c r="AQ9" s="43"/>
      <c r="AR9" s="3"/>
      <c r="AS9" s="44"/>
      <c r="AT9" s="3"/>
      <c r="AU9" s="3"/>
      <c r="AX9" s="3"/>
      <c r="AY9" s="43"/>
      <c r="AZ9" s="3"/>
      <c r="BA9" s="44"/>
      <c r="BB9" s="3"/>
      <c r="BC9" s="3"/>
      <c r="BF9" s="3"/>
      <c r="BG9" s="43"/>
      <c r="BH9" s="3"/>
      <c r="BI9" s="44"/>
      <c r="BJ9" s="3"/>
      <c r="BK9" s="3"/>
      <c r="BN9" s="3"/>
      <c r="BO9" s="43"/>
      <c r="BP9" s="3"/>
      <c r="BQ9" s="44"/>
      <c r="BR9" s="3"/>
      <c r="BS9" s="3"/>
      <c r="BV9" s="3"/>
      <c r="BW9" s="43"/>
      <c r="BX9" s="3"/>
      <c r="BY9" s="44"/>
      <c r="BZ9" s="3"/>
      <c r="CA9" s="3"/>
      <c r="CD9" s="3"/>
      <c r="CE9" s="43"/>
      <c r="CF9" s="3"/>
      <c r="CG9" s="44"/>
      <c r="CH9" s="3"/>
      <c r="CI9" s="3"/>
      <c r="CL9" s="3"/>
      <c r="CM9" s="43"/>
      <c r="CN9" s="3"/>
      <c r="CO9" s="44"/>
      <c r="CP9" s="3"/>
      <c r="CQ9" s="3"/>
      <c r="CT9" s="3"/>
      <c r="CU9" s="43"/>
      <c r="CV9" s="3"/>
      <c r="CW9" s="44"/>
      <c r="CX9" s="3"/>
      <c r="CY9" s="3"/>
      <c r="DB9" s="3"/>
      <c r="DC9" s="43"/>
      <c r="DD9" s="3"/>
      <c r="DE9" s="44"/>
      <c r="DF9" s="3"/>
      <c r="DG9" s="3"/>
      <c r="DJ9" s="3"/>
      <c r="DK9" s="43"/>
      <c r="DL9" s="3"/>
      <c r="DM9" s="44"/>
      <c r="DN9" s="3"/>
      <c r="DO9" s="3"/>
      <c r="DR9" s="3"/>
      <c r="DS9" s="43"/>
      <c r="DT9" s="3"/>
      <c r="DU9" s="44"/>
      <c r="DV9" s="3"/>
      <c r="DW9" s="3"/>
      <c r="DZ9" s="3"/>
      <c r="EA9" s="43"/>
      <c r="EB9" s="3"/>
      <c r="EC9" s="44"/>
      <c r="ED9" s="3"/>
      <c r="EE9" s="3"/>
      <c r="EH9" s="3"/>
      <c r="EI9" s="43"/>
      <c r="EJ9" s="3"/>
      <c r="EK9" s="44"/>
      <c r="EL9" s="3"/>
      <c r="EM9" s="3"/>
      <c r="EP9" s="3"/>
      <c r="EQ9" s="43"/>
      <c r="ER9" s="3"/>
      <c r="ES9" s="44"/>
      <c r="ET9" s="3"/>
      <c r="EU9" s="3"/>
      <c r="EX9" s="3"/>
      <c r="EY9" s="43"/>
      <c r="EZ9" s="3"/>
      <c r="FA9" s="44"/>
      <c r="FB9" s="3"/>
      <c r="FC9" s="3"/>
      <c r="FF9" s="3"/>
      <c r="FG9" s="43"/>
      <c r="FH9" s="3"/>
      <c r="FI9" s="44"/>
      <c r="FJ9" s="3"/>
      <c r="FK9" s="3"/>
      <c r="FN9" s="3"/>
      <c r="FO9" s="43"/>
      <c r="FP9" s="3"/>
      <c r="FQ9" s="44"/>
      <c r="FR9" s="3"/>
      <c r="FS9" s="3"/>
      <c r="FV9" s="3"/>
      <c r="FW9" s="43"/>
      <c r="FX9" s="3"/>
      <c r="FY9" s="44"/>
      <c r="FZ9" s="3"/>
      <c r="GA9" s="3"/>
      <c r="GD9" s="3"/>
      <c r="GE9" s="43"/>
      <c r="GF9" s="3"/>
      <c r="GG9" s="44"/>
      <c r="GH9" s="3"/>
      <c r="GI9" s="3"/>
      <c r="GL9" s="3"/>
      <c r="GM9" s="43"/>
      <c r="GN9" s="3"/>
      <c r="GO9" s="44"/>
      <c r="GP9" s="3"/>
      <c r="GQ9" s="3"/>
      <c r="GT9" s="3"/>
      <c r="GU9" s="43"/>
      <c r="GV9" s="3"/>
      <c r="GW9" s="44"/>
      <c r="GX9" s="3"/>
      <c r="GY9" s="3"/>
      <c r="HB9" s="3"/>
      <c r="HC9" s="43"/>
      <c r="HD9" s="3"/>
      <c r="HE9" s="44"/>
      <c r="HF9" s="3"/>
      <c r="HG9" s="3"/>
      <c r="HJ9" s="3"/>
      <c r="HK9" s="43"/>
      <c r="HL9" s="3"/>
      <c r="HM9" s="44"/>
      <c r="HN9" s="3"/>
      <c r="HO9" s="3"/>
      <c r="HR9" s="3"/>
      <c r="HS9" s="43"/>
      <c r="HT9" s="3"/>
      <c r="HU9" s="44"/>
      <c r="HV9" s="3"/>
      <c r="HW9" s="3"/>
      <c r="HZ9" s="3"/>
      <c r="IA9" s="43"/>
      <c r="IB9" s="3"/>
      <c r="IC9" s="44"/>
      <c r="ID9" s="3"/>
      <c r="IE9" s="3"/>
      <c r="IH9" s="3"/>
      <c r="II9" s="43"/>
      <c r="IJ9" s="3"/>
      <c r="IK9" s="44"/>
      <c r="IL9" s="3"/>
      <c r="IM9" s="3"/>
      <c r="IP9" s="3"/>
      <c r="IQ9" s="43"/>
      <c r="IR9" s="3"/>
      <c r="IS9" s="44"/>
      <c r="IT9" s="3"/>
      <c r="IU9" s="3"/>
    </row>
    <row r="10" spans="1:255" ht="14.25" x14ac:dyDescent="0.25">
      <c r="A10" s="84" t="s">
        <v>150</v>
      </c>
      <c r="B10" s="84"/>
      <c r="C10" s="103"/>
      <c r="D10" s="96">
        <f>D5+D6+D7+D8+D9</f>
        <v>5.22</v>
      </c>
      <c r="E10" s="3" t="s">
        <v>94</v>
      </c>
      <c r="Q10" s="3"/>
      <c r="Y10" s="3"/>
      <c r="AG10" s="3"/>
      <c r="AO10" s="3"/>
      <c r="AW10" s="3"/>
      <c r="BE10" s="3"/>
      <c r="BM10" s="3"/>
      <c r="BU10" s="3"/>
      <c r="CC10" s="3"/>
      <c r="CK10" s="3"/>
      <c r="CS10" s="3"/>
      <c r="DA10" s="3"/>
      <c r="DI10" s="3"/>
      <c r="DQ10" s="3"/>
      <c r="DY10" s="3"/>
      <c r="EG10" s="3"/>
      <c r="EO10" s="3"/>
      <c r="EW10" s="3"/>
      <c r="FE10" s="3"/>
      <c r="FM10" s="3"/>
      <c r="FU10" s="3"/>
      <c r="GC10" s="3"/>
      <c r="GK10" s="3"/>
      <c r="GS10" s="3"/>
      <c r="HA10" s="3"/>
      <c r="HI10" s="3"/>
      <c r="HQ10" s="3"/>
      <c r="HY10" s="3"/>
      <c r="IG10" s="3"/>
      <c r="IO10" s="3"/>
    </row>
    <row r="11" spans="1:255" x14ac:dyDescent="0.2">
      <c r="D11" s="53"/>
      <c r="E11" s="3"/>
      <c r="Q11" s="3"/>
      <c r="Y11" s="3"/>
      <c r="AG11" s="3"/>
      <c r="AO11" s="3"/>
      <c r="AW11" s="3"/>
      <c r="BE11" s="3"/>
      <c r="BM11" s="3"/>
      <c r="BU11" s="3"/>
      <c r="CC11" s="3"/>
      <c r="CK11" s="3"/>
      <c r="CS11" s="3"/>
      <c r="DA11" s="3"/>
      <c r="DI11" s="3"/>
      <c r="DQ11" s="3"/>
      <c r="DY11" s="3"/>
      <c r="EG11" s="3"/>
      <c r="EO11" s="3"/>
      <c r="EW11" s="3"/>
      <c r="FE11" s="3"/>
      <c r="FM11" s="3"/>
      <c r="FU11" s="3"/>
      <c r="GC11" s="3"/>
      <c r="GK11" s="3"/>
      <c r="GS11" s="3"/>
      <c r="HA11" s="3"/>
      <c r="HI11" s="3"/>
      <c r="HQ11" s="3"/>
      <c r="HY11" s="3"/>
      <c r="IG11" s="3"/>
      <c r="IO11" s="3"/>
    </row>
    <row r="12" spans="1:255" s="91" customFormat="1" x14ac:dyDescent="0.2">
      <c r="A12" s="92" t="s">
        <v>151</v>
      </c>
      <c r="D12" s="93"/>
      <c r="E12" s="92"/>
      <c r="Q12" s="92"/>
      <c r="Y12" s="92"/>
      <c r="AG12" s="92"/>
      <c r="AO12" s="92"/>
      <c r="AW12" s="92"/>
      <c r="BE12" s="92"/>
      <c r="BM12" s="92"/>
      <c r="BU12" s="92"/>
      <c r="CC12" s="92"/>
      <c r="CK12" s="92"/>
      <c r="CS12" s="92"/>
      <c r="DA12" s="92"/>
      <c r="DI12" s="92"/>
      <c r="DQ12" s="92"/>
      <c r="DY12" s="92"/>
      <c r="EG12" s="92"/>
      <c r="EO12" s="92"/>
      <c r="EW12" s="92"/>
      <c r="FE12" s="92"/>
      <c r="FM12" s="92"/>
      <c r="FU12" s="92"/>
      <c r="GC12" s="92"/>
      <c r="GK12" s="92"/>
      <c r="GS12" s="92"/>
      <c r="HA12" s="92"/>
      <c r="HI12" s="92"/>
      <c r="HQ12" s="92"/>
      <c r="HY12" s="92"/>
      <c r="IG12" s="92"/>
      <c r="IO12" s="92"/>
    </row>
    <row r="13" spans="1:255" ht="15" thickBot="1" x14ac:dyDescent="0.3">
      <c r="A13" s="90" t="s">
        <v>152</v>
      </c>
      <c r="B13" s="3" t="s">
        <v>153</v>
      </c>
      <c r="C13" s="3" t="s">
        <v>154</v>
      </c>
      <c r="D13" s="3" t="s">
        <v>144</v>
      </c>
      <c r="E13" s="3"/>
      <c r="G13" s="3" t="s">
        <v>155</v>
      </c>
      <c r="Q13" s="3"/>
      <c r="Y13" s="3"/>
      <c r="AG13" s="3"/>
      <c r="AO13" s="3"/>
      <c r="AW13" s="3"/>
      <c r="BE13" s="3"/>
      <c r="BM13" s="3"/>
      <c r="BU13" s="3"/>
      <c r="CC13" s="3"/>
      <c r="CK13" s="3"/>
      <c r="CS13" s="3"/>
      <c r="DA13" s="3"/>
      <c r="DI13" s="3"/>
      <c r="DQ13" s="3"/>
      <c r="DY13" s="3"/>
      <c r="EG13" s="3"/>
      <c r="EO13" s="3"/>
      <c r="EW13" s="3"/>
      <c r="FE13" s="3"/>
      <c r="FM13" s="3"/>
      <c r="FU13" s="3"/>
      <c r="GC13" s="3"/>
      <c r="GK13" s="3"/>
      <c r="GS13" s="3"/>
      <c r="HA13" s="3"/>
      <c r="HI13" s="3"/>
      <c r="HQ13" s="3"/>
      <c r="HY13" s="3"/>
      <c r="IG13" s="3"/>
      <c r="IO13" s="3"/>
    </row>
    <row r="14" spans="1:255" x14ac:dyDescent="0.2">
      <c r="A14" s="22" t="s">
        <v>156</v>
      </c>
      <c r="B14" s="66"/>
      <c r="C14" s="66">
        <v>109</v>
      </c>
      <c r="D14" s="83">
        <f>B14*C14/1000</f>
        <v>0</v>
      </c>
      <c r="E14" s="3"/>
      <c r="G14" s="126" t="s">
        <v>157</v>
      </c>
      <c r="H14" s="127"/>
      <c r="I14" s="110" t="s">
        <v>158</v>
      </c>
      <c r="J14" s="110"/>
      <c r="K14" s="110"/>
      <c r="L14" s="117"/>
      <c r="Q14" s="3"/>
      <c r="Y14" s="3"/>
      <c r="AG14" s="3"/>
      <c r="AO14" s="3"/>
      <c r="AW14" s="3"/>
      <c r="BE14" s="3"/>
      <c r="BM14" s="3"/>
      <c r="BU14" s="3"/>
      <c r="CC14" s="3"/>
      <c r="CK14" s="3"/>
      <c r="CS14" s="3"/>
      <c r="DA14" s="3"/>
      <c r="DI14" s="3"/>
      <c r="DQ14" s="3"/>
      <c r="DY14" s="3"/>
      <c r="EG14" s="3"/>
      <c r="EO14" s="3"/>
      <c r="EW14" s="3"/>
      <c r="FE14" s="3"/>
      <c r="FM14" s="3"/>
      <c r="FU14" s="3"/>
      <c r="GC14" s="3"/>
      <c r="GK14" s="3"/>
      <c r="GS14" s="3"/>
      <c r="HA14" s="3"/>
      <c r="HI14" s="3"/>
      <c r="HQ14" s="3"/>
      <c r="HY14" s="3"/>
      <c r="IG14" s="3"/>
      <c r="IO14" s="3"/>
    </row>
    <row r="15" spans="1:255" x14ac:dyDescent="0.2">
      <c r="A15" s="22" t="s">
        <v>159</v>
      </c>
      <c r="B15" s="66"/>
      <c r="C15" s="66">
        <v>207</v>
      </c>
      <c r="D15" s="83">
        <f>B15*C15/1000</f>
        <v>0</v>
      </c>
      <c r="E15" s="3"/>
      <c r="G15" s="38"/>
      <c r="H15">
        <f>30*H14</f>
        <v>0</v>
      </c>
      <c r="I15" t="s">
        <v>160</v>
      </c>
      <c r="L15" s="39"/>
      <c r="Q15" s="3"/>
      <c r="Y15" s="3"/>
      <c r="AG15" s="3"/>
      <c r="AO15" s="3"/>
      <c r="AW15" s="3"/>
      <c r="BE15" s="3"/>
      <c r="BM15" s="3"/>
      <c r="BU15" s="3"/>
      <c r="CC15" s="3"/>
      <c r="CK15" s="3"/>
      <c r="CS15" s="3"/>
      <c r="DA15" s="3"/>
      <c r="DI15" s="3"/>
      <c r="DQ15" s="3"/>
      <c r="DY15" s="3"/>
      <c r="EG15" s="3"/>
      <c r="EO15" s="3"/>
      <c r="EW15" s="3"/>
      <c r="FE15" s="3"/>
      <c r="FM15" s="3"/>
      <c r="FU15" s="3"/>
      <c r="GC15" s="3"/>
      <c r="GK15" s="3"/>
      <c r="GS15" s="3"/>
      <c r="HA15" s="3"/>
      <c r="HI15" s="3"/>
      <c r="HQ15" s="3"/>
      <c r="HY15" s="3"/>
      <c r="IG15" s="3"/>
      <c r="IO15" s="3"/>
    </row>
    <row r="16" spans="1:255" x14ac:dyDescent="0.2">
      <c r="A16" s="22" t="s">
        <v>161</v>
      </c>
      <c r="B16" s="66">
        <v>0</v>
      </c>
      <c r="C16" s="66">
        <v>141</v>
      </c>
      <c r="D16" s="83">
        <f>B16*C16/1000</f>
        <v>0</v>
      </c>
      <c r="G16" s="38"/>
      <c r="L16" s="39"/>
      <c r="Q16" s="3"/>
      <c r="Y16" s="3"/>
      <c r="AG16" s="3"/>
      <c r="AO16" s="3"/>
      <c r="AW16" s="3"/>
      <c r="BE16" s="3"/>
      <c r="BM16" s="3"/>
      <c r="BU16" s="3"/>
      <c r="CC16" s="3"/>
      <c r="CK16" s="3"/>
      <c r="CS16" s="3"/>
      <c r="DA16" s="3"/>
      <c r="DI16" s="3"/>
      <c r="DQ16" s="3"/>
      <c r="DY16" s="3"/>
      <c r="EG16" s="3"/>
      <c r="EO16" s="3"/>
      <c r="EW16" s="3"/>
      <c r="FE16" s="3"/>
      <c r="FM16" s="3"/>
      <c r="FU16" s="3"/>
      <c r="GC16" s="3"/>
      <c r="GK16" s="3"/>
      <c r="GS16" s="3"/>
      <c r="HA16" s="3"/>
      <c r="HI16" s="3"/>
      <c r="HQ16" s="3"/>
      <c r="HY16" s="3"/>
      <c r="IG16" s="3"/>
      <c r="IO16" s="3"/>
    </row>
    <row r="17" spans="1:256" x14ac:dyDescent="0.2">
      <c r="A17" s="22" t="s">
        <v>162</v>
      </c>
      <c r="B17" s="66">
        <v>0</v>
      </c>
      <c r="C17" s="66">
        <v>141</v>
      </c>
      <c r="D17" s="83">
        <f>B17*C17/1000</f>
        <v>0</v>
      </c>
      <c r="G17" s="38" t="s">
        <v>163</v>
      </c>
      <c r="H17" s="65"/>
      <c r="I17" t="s">
        <v>164</v>
      </c>
      <c r="J17" s="65"/>
      <c r="K17" t="s">
        <v>165</v>
      </c>
      <c r="L17" s="39"/>
      <c r="Q17" s="3"/>
      <c r="Y17" s="3"/>
      <c r="AG17" s="3"/>
      <c r="AO17" s="3"/>
      <c r="AW17" s="3"/>
      <c r="BE17" s="3"/>
      <c r="BM17" s="3"/>
      <c r="BU17" s="3"/>
      <c r="CC17" s="3"/>
      <c r="CK17" s="3"/>
      <c r="CS17" s="3"/>
      <c r="DA17" s="3"/>
      <c r="DI17" s="3"/>
      <c r="DQ17" s="3"/>
      <c r="DY17" s="3"/>
      <c r="EG17" s="3"/>
      <c r="EO17" s="3"/>
      <c r="EW17" s="3"/>
      <c r="FE17" s="3"/>
      <c r="FM17" s="3"/>
      <c r="FU17" s="3"/>
      <c r="GC17" s="3"/>
      <c r="GK17" s="3"/>
      <c r="GS17" s="3"/>
      <c r="HA17" s="3"/>
      <c r="HI17" s="3"/>
      <c r="HQ17" s="3"/>
      <c r="HY17" s="3"/>
      <c r="IG17" s="3"/>
      <c r="IO17" s="3"/>
    </row>
    <row r="18" spans="1:256" ht="14.25" x14ac:dyDescent="0.25">
      <c r="A18" s="94" t="s">
        <v>166</v>
      </c>
      <c r="B18" s="84"/>
      <c r="C18" s="84"/>
      <c r="D18" s="157">
        <f>SUM(D14:D17)</f>
        <v>0</v>
      </c>
      <c r="E18" s="3" t="s">
        <v>94</v>
      </c>
      <c r="G18" s="38"/>
      <c r="L18" s="39"/>
      <c r="Q18" s="3"/>
      <c r="Y18" s="3"/>
      <c r="AG18" s="3"/>
      <c r="AO18" s="3"/>
      <c r="AW18" s="3"/>
      <c r="BE18" s="3"/>
      <c r="BM18" s="3"/>
      <c r="BU18" s="3"/>
      <c r="CC18" s="3"/>
      <c r="CK18" s="3"/>
      <c r="CS18" s="3"/>
      <c r="DA18" s="3"/>
      <c r="DI18" s="3"/>
      <c r="DQ18" s="3"/>
      <c r="DY18" s="3"/>
      <c r="EG18" s="3"/>
      <c r="EO18" s="3"/>
      <c r="EW18" s="3"/>
      <c r="FE18" s="3"/>
      <c r="FM18" s="3"/>
      <c r="FU18" s="3"/>
      <c r="GC18" s="3"/>
      <c r="GK18" s="3"/>
      <c r="GS18" s="3"/>
      <c r="HA18" s="3"/>
      <c r="HI18" s="3"/>
      <c r="HQ18" s="3"/>
      <c r="HY18" s="3"/>
      <c r="IG18" s="3"/>
      <c r="IO18" s="3"/>
    </row>
    <row r="19" spans="1:256" ht="15" hidden="1" x14ac:dyDescent="0.25">
      <c r="A19" s="3" t="s">
        <v>167</v>
      </c>
      <c r="B19" s="3" t="s">
        <v>142</v>
      </c>
      <c r="C19" s="3" t="s">
        <v>168</v>
      </c>
      <c r="D19" s="3" t="s">
        <v>144</v>
      </c>
      <c r="G19" s="38"/>
      <c r="L19" s="3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idden="1" x14ac:dyDescent="0.2">
      <c r="A20" s="10" t="s">
        <v>169</v>
      </c>
      <c r="B20" s="66"/>
      <c r="C20" s="17">
        <v>4.2000000000000003E-2</v>
      </c>
      <c r="D20" s="69">
        <f>B20*C20</f>
        <v>0</v>
      </c>
      <c r="G20" s="38"/>
      <c r="L20" s="39"/>
    </row>
    <row r="21" spans="1:256" hidden="1" x14ac:dyDescent="0.2">
      <c r="G21" s="38"/>
      <c r="L21" s="39"/>
      <c r="Q21" s="3"/>
      <c r="R21" s="3"/>
      <c r="S21" s="45"/>
      <c r="T21" s="3"/>
      <c r="Y21" s="3"/>
      <c r="Z21" s="3"/>
      <c r="AA21" s="45"/>
      <c r="AB21" s="3"/>
      <c r="AG21" s="3"/>
      <c r="AH21" s="3"/>
      <c r="AI21" s="45"/>
      <c r="AJ21" s="3"/>
      <c r="AO21" s="3"/>
      <c r="AP21" s="3"/>
      <c r="AQ21" s="45"/>
      <c r="AR21" s="3"/>
      <c r="AW21" s="3"/>
      <c r="AX21" s="3"/>
      <c r="AY21" s="45"/>
      <c r="AZ21" s="3"/>
      <c r="BE21" s="3"/>
      <c r="BF21" s="3"/>
      <c r="BG21" s="45"/>
      <c r="BH21" s="3"/>
      <c r="BM21" s="3"/>
      <c r="BN21" s="3"/>
      <c r="BO21" s="45"/>
      <c r="BP21" s="3"/>
      <c r="BU21" s="3"/>
      <c r="BV21" s="3"/>
      <c r="BW21" s="45"/>
      <c r="BX21" s="3"/>
      <c r="CC21" s="3"/>
      <c r="CD21" s="3"/>
      <c r="CE21" s="45"/>
      <c r="CF21" s="3"/>
      <c r="CK21" s="3"/>
      <c r="CL21" s="3"/>
      <c r="CM21" s="45"/>
      <c r="CN21" s="3"/>
      <c r="CS21" s="3"/>
      <c r="CT21" s="3"/>
      <c r="CU21" s="45"/>
      <c r="CV21" s="3"/>
      <c r="DA21" s="3"/>
      <c r="DB21" s="3"/>
      <c r="DC21" s="45"/>
      <c r="DD21" s="3"/>
      <c r="DI21" s="3"/>
      <c r="DJ21" s="3"/>
      <c r="DK21" s="45"/>
      <c r="DL21" s="3"/>
      <c r="DQ21" s="3"/>
      <c r="DR21" s="3"/>
      <c r="DS21" s="45"/>
      <c r="DT21" s="3"/>
      <c r="DY21" s="3"/>
      <c r="DZ21" s="3"/>
      <c r="EA21" s="45"/>
      <c r="EB21" s="3"/>
      <c r="EG21" s="3"/>
      <c r="EH21" s="3"/>
      <c r="EI21" s="45"/>
      <c r="EJ21" s="3"/>
      <c r="EO21" s="3"/>
      <c r="EP21" s="3"/>
      <c r="EQ21" s="45"/>
      <c r="ER21" s="3"/>
      <c r="EW21" s="3"/>
      <c r="EX21" s="3"/>
      <c r="EY21" s="45"/>
      <c r="EZ21" s="3"/>
      <c r="FE21" s="3"/>
      <c r="FF21" s="3"/>
      <c r="FG21" s="45"/>
      <c r="FH21" s="3"/>
      <c r="FM21" s="3"/>
      <c r="FN21" s="3"/>
      <c r="FO21" s="45"/>
      <c r="FP21" s="3"/>
      <c r="FU21" s="3"/>
      <c r="FV21" s="3"/>
      <c r="FW21" s="45"/>
      <c r="FX21" s="3"/>
      <c r="GC21" s="3"/>
      <c r="GD21" s="3"/>
      <c r="GE21" s="45"/>
      <c r="GF21" s="3"/>
      <c r="GK21" s="3"/>
      <c r="GL21" s="3"/>
      <c r="GM21" s="45"/>
      <c r="GN21" s="3"/>
      <c r="GS21" s="3"/>
      <c r="GT21" s="3"/>
      <c r="GU21" s="45"/>
      <c r="GV21" s="3"/>
      <c r="HA21" s="3"/>
      <c r="HB21" s="3"/>
      <c r="HC21" s="45"/>
      <c r="HD21" s="3"/>
      <c r="HI21" s="3"/>
      <c r="HJ21" s="3"/>
      <c r="HK21" s="45"/>
      <c r="HL21" s="3"/>
      <c r="HQ21" s="3"/>
      <c r="HR21" s="3"/>
      <c r="HS21" s="45"/>
      <c r="HT21" s="3"/>
      <c r="HY21" s="3"/>
      <c r="HZ21" s="3"/>
      <c r="IA21" s="45"/>
      <c r="IB21" s="3"/>
      <c r="IG21" s="3"/>
      <c r="IH21" s="3"/>
      <c r="II21" s="45"/>
      <c r="IJ21" s="3"/>
      <c r="IO21" s="3"/>
      <c r="IP21" s="3"/>
      <c r="IQ21" s="45"/>
      <c r="IR21" s="3"/>
    </row>
    <row r="22" spans="1:256" ht="15" hidden="1" x14ac:dyDescent="0.25">
      <c r="A22" s="3" t="s">
        <v>170</v>
      </c>
      <c r="B22" s="3" t="s">
        <v>142</v>
      </c>
      <c r="C22" s="3" t="s">
        <v>168</v>
      </c>
      <c r="D22" s="3" t="s">
        <v>144</v>
      </c>
      <c r="G22" s="38"/>
      <c r="L22" s="39"/>
    </row>
    <row r="23" spans="1:256" hidden="1" x14ac:dyDescent="0.2">
      <c r="A23" s="10" t="s">
        <v>171</v>
      </c>
      <c r="B23" s="66"/>
      <c r="C23" s="17">
        <v>2.6200000000000001E-2</v>
      </c>
      <c r="D23" s="69">
        <f>B23*C23</f>
        <v>0</v>
      </c>
      <c r="G23" s="38"/>
      <c r="L23" s="39"/>
    </row>
    <row r="24" spans="1:256" hidden="1" x14ac:dyDescent="0.2">
      <c r="A24" s="10" t="s">
        <v>172</v>
      </c>
      <c r="B24" s="66"/>
      <c r="C24" s="17">
        <v>9.2999999999999992E-3</v>
      </c>
      <c r="D24" s="69">
        <f>B24*C24</f>
        <v>0</v>
      </c>
      <c r="G24" s="38"/>
      <c r="L24" s="39"/>
    </row>
    <row r="25" spans="1:256" ht="14.25" hidden="1" x14ac:dyDescent="0.25">
      <c r="A25" s="84" t="s">
        <v>173</v>
      </c>
      <c r="B25" s="84"/>
      <c r="C25" s="84"/>
      <c r="D25" s="69">
        <f>D23+D24</f>
        <v>0</v>
      </c>
      <c r="E25" s="3" t="s">
        <v>94</v>
      </c>
      <c r="G25" s="38"/>
      <c r="L25" s="39"/>
    </row>
    <row r="26" spans="1:256" hidden="1" x14ac:dyDescent="0.2">
      <c r="G26" s="38"/>
      <c r="L26" s="39"/>
    </row>
    <row r="27" spans="1:256" ht="15" hidden="1" x14ac:dyDescent="0.25">
      <c r="A27" s="3" t="s">
        <v>174</v>
      </c>
      <c r="B27" s="3" t="s">
        <v>142</v>
      </c>
      <c r="C27" s="3" t="s">
        <v>168</v>
      </c>
      <c r="D27" s="3" t="s">
        <v>144</v>
      </c>
      <c r="G27" s="38"/>
      <c r="L27" s="39"/>
    </row>
    <row r="28" spans="1:256" hidden="1" x14ac:dyDescent="0.2">
      <c r="A28" s="10" t="s">
        <v>175</v>
      </c>
      <c r="B28" s="66"/>
      <c r="C28" s="17">
        <v>1.9330000000000001</v>
      </c>
      <c r="D28" s="69">
        <f>B28*C28</f>
        <v>0</v>
      </c>
      <c r="G28" s="38"/>
      <c r="L28" s="39"/>
    </row>
    <row r="29" spans="1:256" hidden="1" x14ac:dyDescent="0.2">
      <c r="A29" s="10" t="s">
        <v>176</v>
      </c>
      <c r="B29" s="66"/>
      <c r="C29" s="17">
        <v>1.4159999999999999</v>
      </c>
      <c r="D29" s="69">
        <f>B29*C29</f>
        <v>0</v>
      </c>
      <c r="G29" s="38"/>
      <c r="L29" s="39"/>
    </row>
    <row r="30" spans="1:256" hidden="1" x14ac:dyDescent="0.2">
      <c r="A30" s="10" t="s">
        <v>177</v>
      </c>
      <c r="B30" s="66"/>
      <c r="C30" s="17">
        <v>0.6</v>
      </c>
      <c r="D30" s="69">
        <f>B30*C30</f>
        <v>0</v>
      </c>
      <c r="G30" s="38"/>
      <c r="L30" s="39"/>
    </row>
    <row r="31" spans="1:256" ht="14.25" hidden="1" x14ac:dyDescent="0.25">
      <c r="A31" s="84" t="s">
        <v>178</v>
      </c>
      <c r="B31" s="84"/>
      <c r="C31" s="84"/>
      <c r="D31" s="69">
        <f>D28+D29+D30</f>
        <v>0</v>
      </c>
      <c r="E31" s="3" t="s">
        <v>94</v>
      </c>
      <c r="G31" s="38"/>
      <c r="L31" s="39"/>
    </row>
    <row r="32" spans="1:256" x14ac:dyDescent="0.2">
      <c r="G32" s="38"/>
      <c r="L32" s="39"/>
    </row>
    <row r="33" spans="1:12" ht="13.5" thickBot="1" x14ac:dyDescent="0.25">
      <c r="G33" s="114" t="s">
        <v>179</v>
      </c>
      <c r="H33" s="128" t="e">
        <f>H17/J17*H15</f>
        <v>#DIV/0!</v>
      </c>
      <c r="I33" s="115" t="s">
        <v>164</v>
      </c>
      <c r="J33" s="115"/>
      <c r="K33" s="115"/>
      <c r="L33" s="129"/>
    </row>
    <row r="34" spans="1:12" ht="15" thickBot="1" x14ac:dyDescent="0.3">
      <c r="A34" s="85" t="s">
        <v>180</v>
      </c>
      <c r="B34" s="86"/>
      <c r="C34" s="86"/>
      <c r="D34" s="87">
        <f>D10+D20+D25+D31+D18</f>
        <v>5.22</v>
      </c>
      <c r="E34" s="88" t="s">
        <v>94</v>
      </c>
    </row>
    <row r="37" spans="1:12" s="91" customFormat="1" x14ac:dyDescent="0.2">
      <c r="A37" s="92" t="s">
        <v>181</v>
      </c>
    </row>
    <row r="38" spans="1:12" ht="14.25" x14ac:dyDescent="0.25">
      <c r="A38" s="90"/>
      <c r="B38" s="3" t="s">
        <v>182</v>
      </c>
      <c r="C38" s="3" t="s">
        <v>183</v>
      </c>
      <c r="D38" s="3" t="s">
        <v>144</v>
      </c>
    </row>
    <row r="39" spans="1:12" x14ac:dyDescent="0.2">
      <c r="A39" s="22" t="s">
        <v>184</v>
      </c>
      <c r="B39" s="66"/>
      <c r="C39" s="17">
        <v>5.6</v>
      </c>
      <c r="D39" s="69">
        <f>B39*C39</f>
        <v>0</v>
      </c>
    </row>
    <row r="40" spans="1:12" ht="13.5" thickBot="1" x14ac:dyDescent="0.25">
      <c r="A40" s="158" t="s">
        <v>185</v>
      </c>
      <c r="B40" s="159"/>
      <c r="C40" s="52">
        <v>5.6</v>
      </c>
      <c r="D40" s="160">
        <f>B40*C40/1000</f>
        <v>0</v>
      </c>
    </row>
    <row r="41" spans="1:12" ht="15" thickBot="1" x14ac:dyDescent="0.3">
      <c r="A41" s="85" t="s">
        <v>186</v>
      </c>
      <c r="B41" s="102"/>
      <c r="C41" s="102"/>
      <c r="D41" s="102">
        <f>SUM(D39:D40)</f>
        <v>0</v>
      </c>
      <c r="E41" s="161" t="s">
        <v>94</v>
      </c>
    </row>
    <row r="42" spans="1:12" x14ac:dyDescent="0.2">
      <c r="A42" t="s">
        <v>187</v>
      </c>
    </row>
    <row r="44" spans="1:12" s="91" customFormat="1" x14ac:dyDescent="0.2">
      <c r="A44" s="92" t="s">
        <v>188</v>
      </c>
    </row>
    <row r="46" spans="1:12" x14ac:dyDescent="0.2">
      <c r="A46" s="4"/>
    </row>
    <row r="47" spans="1:12" ht="15" x14ac:dyDescent="0.25">
      <c r="A47" s="23"/>
      <c r="B47" s="24" t="s">
        <v>189</v>
      </c>
      <c r="C47" s="13" t="s">
        <v>190</v>
      </c>
      <c r="D47" s="13" t="s">
        <v>191</v>
      </c>
      <c r="E47" s="13" t="s">
        <v>192</v>
      </c>
      <c r="F47" s="13" t="s">
        <v>193</v>
      </c>
      <c r="G47" s="13" t="s">
        <v>194</v>
      </c>
      <c r="H47" s="13" t="s">
        <v>195</v>
      </c>
      <c r="I47" s="13" t="s">
        <v>196</v>
      </c>
      <c r="J47" s="13" t="s">
        <v>197</v>
      </c>
      <c r="K47" s="13" t="s">
        <v>198</v>
      </c>
    </row>
    <row r="48" spans="1:12" x14ac:dyDescent="0.2">
      <c r="A48" s="20" t="s">
        <v>199</v>
      </c>
      <c r="B48" s="66">
        <v>2</v>
      </c>
      <c r="C48" s="17">
        <v>5</v>
      </c>
      <c r="D48" s="17">
        <v>3</v>
      </c>
      <c r="E48" s="17">
        <v>0.05</v>
      </c>
      <c r="F48" s="17"/>
      <c r="G48" s="17">
        <f>C48+D48+(25*E48)</f>
        <v>9.25</v>
      </c>
      <c r="H48" s="95">
        <f>B48*G48</f>
        <v>18.5</v>
      </c>
      <c r="I48" s="17">
        <f>B48*C48</f>
        <v>10</v>
      </c>
      <c r="J48" s="17">
        <f>D48*B48</f>
        <v>6</v>
      </c>
      <c r="K48" s="17">
        <f>B48*E48</f>
        <v>0.1</v>
      </c>
    </row>
    <row r="49" spans="1:13" x14ac:dyDescent="0.2">
      <c r="A49" s="20" t="s">
        <v>200</v>
      </c>
      <c r="B49" s="66">
        <v>1</v>
      </c>
      <c r="C49" s="17">
        <v>87.3</v>
      </c>
      <c r="D49" s="17"/>
      <c r="E49" s="17">
        <v>0.98699999999999999</v>
      </c>
      <c r="F49" s="17">
        <v>5.0999999999999997E-2</v>
      </c>
      <c r="G49" s="17">
        <f>C49+E49*25+F49*298</f>
        <v>127.17299999999999</v>
      </c>
      <c r="H49" s="96">
        <f>B49*G49</f>
        <v>127.17299999999999</v>
      </c>
      <c r="I49" s="17">
        <f>B49*C49</f>
        <v>87.3</v>
      </c>
      <c r="J49" s="17"/>
      <c r="K49" s="17">
        <f>B49*E49</f>
        <v>0.98699999999999999</v>
      </c>
    </row>
    <row r="51" spans="1:13" ht="14.25" x14ac:dyDescent="0.25">
      <c r="A51" s="97" t="s">
        <v>201</v>
      </c>
      <c r="B51" s="97"/>
      <c r="C51" s="97"/>
      <c r="D51" s="97"/>
      <c r="E51" s="97"/>
      <c r="F51" s="97"/>
      <c r="G51" s="97"/>
      <c r="H51" s="98">
        <f>H48+H49</f>
        <v>145.673</v>
      </c>
      <c r="I51" s="99" t="s">
        <v>94</v>
      </c>
      <c r="L51" s="13" t="s">
        <v>202</v>
      </c>
    </row>
    <row r="52" spans="1:13" x14ac:dyDescent="0.2">
      <c r="L52" s="17"/>
    </row>
    <row r="53" spans="1:13" x14ac:dyDescent="0.2">
      <c r="A53" s="10" t="s">
        <v>203</v>
      </c>
      <c r="I53" s="11"/>
      <c r="L53" s="17">
        <f>B49*F49</f>
        <v>5.0999999999999997E-2</v>
      </c>
    </row>
    <row r="55" spans="1:13" ht="29.25" x14ac:dyDescent="0.25">
      <c r="B55" s="70" t="s">
        <v>204</v>
      </c>
      <c r="C55" s="71" t="s">
        <v>205</v>
      </c>
      <c r="D55" s="70" t="s">
        <v>206</v>
      </c>
      <c r="E55" s="46" t="s">
        <v>207</v>
      </c>
      <c r="F55" s="47" t="s">
        <v>208</v>
      </c>
      <c r="G55" s="100" t="s">
        <v>195</v>
      </c>
      <c r="J55" s="3"/>
      <c r="K55" s="43"/>
    </row>
    <row r="56" spans="1:13" x14ac:dyDescent="0.2">
      <c r="A56" s="20" t="s">
        <v>209</v>
      </c>
      <c r="B56" s="66">
        <v>20</v>
      </c>
      <c r="C56" s="72">
        <v>100</v>
      </c>
      <c r="D56" s="66">
        <v>60</v>
      </c>
      <c r="E56" s="17">
        <v>0.10100000000000001</v>
      </c>
      <c r="F56" s="17">
        <f>(C56/1000)*D56</f>
        <v>6</v>
      </c>
      <c r="G56" s="69">
        <f>(E56*F56)*B56</f>
        <v>12.120000000000001</v>
      </c>
      <c r="I56" s="3"/>
    </row>
    <row r="57" spans="1:13" x14ac:dyDescent="0.2">
      <c r="A57" s="20" t="s">
        <v>210</v>
      </c>
      <c r="B57" s="66">
        <v>20</v>
      </c>
      <c r="C57" s="72">
        <v>50</v>
      </c>
      <c r="D57" s="66">
        <v>60</v>
      </c>
      <c r="E57" s="17">
        <v>0.10100000000000001</v>
      </c>
      <c r="F57" s="17">
        <f>(C57/1000)*D57</f>
        <v>3</v>
      </c>
      <c r="G57" s="69">
        <f>(F57*E57)*B57</f>
        <v>6.0600000000000005</v>
      </c>
      <c r="I57" s="3"/>
    </row>
    <row r="58" spans="1:13" ht="14.25" x14ac:dyDescent="0.25">
      <c r="A58" s="97" t="s">
        <v>211</v>
      </c>
      <c r="B58" s="97"/>
      <c r="C58" s="97"/>
      <c r="D58" s="97"/>
      <c r="E58" s="97"/>
      <c r="F58" s="97"/>
      <c r="G58" s="101">
        <f>G56+G57</f>
        <v>18.18</v>
      </c>
      <c r="H58" s="3" t="s">
        <v>94</v>
      </c>
      <c r="I58" s="3"/>
      <c r="J58" s="3"/>
      <c r="K58" s="3"/>
    </row>
    <row r="59" spans="1:13" ht="13.5" thickBot="1" x14ac:dyDescent="0.25">
      <c r="L59" s="3"/>
    </row>
    <row r="60" spans="1:13" ht="15" thickBot="1" x14ac:dyDescent="0.3">
      <c r="A60" s="85" t="s">
        <v>212</v>
      </c>
      <c r="B60" s="102"/>
      <c r="C60" s="87">
        <f>H51+G58</f>
        <v>163.85300000000001</v>
      </c>
      <c r="D60" s="88" t="s">
        <v>94</v>
      </c>
      <c r="I60" s="3"/>
      <c r="J60" s="3"/>
      <c r="K60" s="45"/>
    </row>
    <row r="62" spans="1:13" x14ac:dyDescent="0.2">
      <c r="L62" s="3"/>
      <c r="M62" s="44"/>
    </row>
    <row r="63" spans="1:13" x14ac:dyDescent="0.2">
      <c r="A63" t="s">
        <v>213</v>
      </c>
    </row>
    <row r="64" spans="1:13" x14ac:dyDescent="0.2">
      <c r="A64" t="s">
        <v>214</v>
      </c>
      <c r="L64" s="3"/>
    </row>
    <row r="65" spans="1:13" x14ac:dyDescent="0.2">
      <c r="A65" t="s">
        <v>215</v>
      </c>
      <c r="M65" s="3"/>
    </row>
    <row r="67" spans="1:13" x14ac:dyDescent="0.2">
      <c r="A67" t="s">
        <v>55</v>
      </c>
    </row>
    <row r="68" spans="1:13" ht="14.25" x14ac:dyDescent="0.2">
      <c r="A68" s="2" t="s">
        <v>216</v>
      </c>
    </row>
    <row r="69" spans="1:13" ht="15.75" x14ac:dyDescent="0.3">
      <c r="A69" s="2" t="s">
        <v>217</v>
      </c>
    </row>
  </sheetData>
  <phoneticPr fontId="0" type="noConversion"/>
  <pageMargins left="0.75" right="0.75" top="1" bottom="1" header="0.4921259845" footer="0.4921259845"/>
  <pageSetup paperSize="8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86"/>
  <sheetViews>
    <sheetView topLeftCell="A49" workbookViewId="0">
      <selection activeCell="A30" sqref="A30"/>
    </sheetView>
  </sheetViews>
  <sheetFormatPr defaultRowHeight="12.75" x14ac:dyDescent="0.2"/>
  <cols>
    <col min="3" max="3" width="0" hidden="1" customWidth="1"/>
    <col min="8" max="8" width="0" hidden="1" customWidth="1"/>
    <col min="13" max="13" width="0" hidden="1" customWidth="1"/>
    <col min="18" max="18" width="0" hidden="1" customWidth="1"/>
    <col min="23" max="23" width="0" hidden="1" customWidth="1"/>
    <col min="28" max="28" width="8.85546875" customWidth="1"/>
  </cols>
  <sheetData>
    <row r="1" spans="1:17" s="105" customFormat="1" x14ac:dyDescent="0.2">
      <c r="A1" s="105" t="s">
        <v>218</v>
      </c>
    </row>
    <row r="2" spans="1:17" x14ac:dyDescent="0.2">
      <c r="A2" s="10" t="s">
        <v>219</v>
      </c>
    </row>
    <row r="3" spans="1:17" x14ac:dyDescent="0.2">
      <c r="A3" s="3" t="s">
        <v>220</v>
      </c>
      <c r="B3" s="3"/>
      <c r="C3" s="3"/>
      <c r="D3" s="3" t="s">
        <v>221</v>
      </c>
      <c r="E3" s="3"/>
      <c r="G3" s="89" t="s">
        <v>222</v>
      </c>
      <c r="I3" t="s">
        <v>223</v>
      </c>
    </row>
    <row r="4" spans="1:17" x14ac:dyDescent="0.2">
      <c r="A4" s="10" t="s">
        <v>224</v>
      </c>
      <c r="B4" s="10"/>
      <c r="C4" s="10"/>
      <c r="D4" s="108">
        <v>0</v>
      </c>
      <c r="E4" s="10">
        <v>0.73399999999999999</v>
      </c>
      <c r="F4" t="s">
        <v>225</v>
      </c>
      <c r="G4" s="84">
        <f>D4*E4*Sähkönkulutus!B4/1000</f>
        <v>0</v>
      </c>
    </row>
    <row r="5" spans="1:17" ht="13.5" thickBot="1" x14ac:dyDescent="0.25">
      <c r="A5" s="10" t="s">
        <v>226</v>
      </c>
      <c r="B5" s="10"/>
      <c r="C5" s="10"/>
      <c r="D5" s="108">
        <v>0</v>
      </c>
      <c r="E5" s="10">
        <v>0.23300000000000001</v>
      </c>
      <c r="F5" t="s">
        <v>225</v>
      </c>
      <c r="G5" s="84">
        <f>D5*E5*Sähkönkulutus!B4/1000</f>
        <v>0</v>
      </c>
    </row>
    <row r="6" spans="1:17" ht="13.5" thickBot="1" x14ac:dyDescent="0.25">
      <c r="A6" s="10" t="s">
        <v>227</v>
      </c>
      <c r="B6" s="10"/>
      <c r="C6" s="10"/>
      <c r="D6" s="108">
        <v>0</v>
      </c>
      <c r="E6" s="10">
        <v>0.45900000000000002</v>
      </c>
      <c r="F6" t="s">
        <v>225</v>
      </c>
      <c r="G6" s="84">
        <f>D6*E6*Sähkönkulutus!B4/1000</f>
        <v>0</v>
      </c>
      <c r="L6" s="122" t="s">
        <v>228</v>
      </c>
      <c r="M6" s="123"/>
      <c r="N6" s="123"/>
      <c r="O6" s="123"/>
      <c r="P6" s="132"/>
    </row>
    <row r="7" spans="1:17" x14ac:dyDescent="0.2">
      <c r="A7" s="10"/>
      <c r="B7" s="10"/>
      <c r="C7" s="10"/>
      <c r="D7" s="10"/>
      <c r="E7" s="10"/>
      <c r="G7" s="84"/>
      <c r="L7" s="109"/>
      <c r="M7" s="110"/>
      <c r="N7" s="110"/>
      <c r="O7" s="110"/>
      <c r="P7" s="117"/>
      <c r="Q7" s="3"/>
    </row>
    <row r="8" spans="1:17" x14ac:dyDescent="0.2">
      <c r="A8" s="3" t="s">
        <v>229</v>
      </c>
      <c r="D8" s="3" t="s">
        <v>230</v>
      </c>
      <c r="L8" s="38" t="s">
        <v>231</v>
      </c>
      <c r="P8" s="124">
        <v>3</v>
      </c>
    </row>
    <row r="9" spans="1:17" x14ac:dyDescent="0.2">
      <c r="A9" s="10" t="s">
        <v>232</v>
      </c>
      <c r="D9" s="65">
        <v>0</v>
      </c>
      <c r="E9">
        <f>(1+1.2)/2</f>
        <v>1.1000000000000001</v>
      </c>
      <c r="F9" s="89" t="s">
        <v>233</v>
      </c>
      <c r="G9" s="84">
        <f>D9*E9*Sähkönkulutus!$B$4/1000</f>
        <v>0</v>
      </c>
      <c r="L9" s="38" t="s">
        <v>234</v>
      </c>
      <c r="P9" s="113">
        <f>(B27+G12)/P8</f>
        <v>1.4333333333333334E-4</v>
      </c>
    </row>
    <row r="10" spans="1:17" ht="13.5" thickBot="1" x14ac:dyDescent="0.25">
      <c r="A10" s="10" t="s">
        <v>235</v>
      </c>
      <c r="D10" s="65">
        <v>0</v>
      </c>
      <c r="E10">
        <f>(0.8+1.1)/2</f>
        <v>0.95000000000000007</v>
      </c>
      <c r="F10" s="89" t="s">
        <v>233</v>
      </c>
      <c r="G10" s="84">
        <f>D10*E10*Sähkönkulutus!$B$4/1000</f>
        <v>0</v>
      </c>
      <c r="L10" s="114" t="s">
        <v>236</v>
      </c>
      <c r="M10" s="115"/>
      <c r="N10" s="115"/>
      <c r="O10" s="115"/>
      <c r="P10" s="125">
        <f>B27+G12</f>
        <v>4.2999999999999999E-4</v>
      </c>
    </row>
    <row r="11" spans="1:17" x14ac:dyDescent="0.2">
      <c r="A11" s="10" t="s">
        <v>237</v>
      </c>
      <c r="D11" s="65">
        <v>0</v>
      </c>
      <c r="E11">
        <f>(0.6+0.8)/2</f>
        <v>0.7</v>
      </c>
      <c r="F11" s="89" t="s">
        <v>233</v>
      </c>
      <c r="G11" s="84">
        <f>D11*E11*Sähkönkulutus!$B$4/1000</f>
        <v>0</v>
      </c>
    </row>
    <row r="12" spans="1:17" x14ac:dyDescent="0.2">
      <c r="A12" s="10" t="s">
        <v>238</v>
      </c>
      <c r="G12" s="3">
        <f>SUM(G4:H11)</f>
        <v>0</v>
      </c>
    </row>
    <row r="14" spans="1:17" x14ac:dyDescent="0.2">
      <c r="A14" s="90" t="s">
        <v>239</v>
      </c>
    </row>
    <row r="15" spans="1:17" x14ac:dyDescent="0.2">
      <c r="A15" s="10" t="s">
        <v>240</v>
      </c>
      <c r="B15">
        <f>E52</f>
        <v>4.2999999999999999E-4</v>
      </c>
      <c r="D15" s="120">
        <f>B15/$B$27</f>
        <v>1</v>
      </c>
    </row>
    <row r="16" spans="1:17" x14ac:dyDescent="0.2">
      <c r="A16" s="10" t="s">
        <v>241</v>
      </c>
      <c r="B16">
        <f>J41</f>
        <v>0</v>
      </c>
      <c r="D16" s="120">
        <f t="shared" ref="D16:D26" si="0">B16/$B$27</f>
        <v>0</v>
      </c>
    </row>
    <row r="17" spans="1:7" x14ac:dyDescent="0.2">
      <c r="A17" s="10" t="s">
        <v>242</v>
      </c>
      <c r="B17">
        <f>J81</f>
        <v>0</v>
      </c>
      <c r="D17" s="120">
        <f t="shared" si="0"/>
        <v>0</v>
      </c>
    </row>
    <row r="18" spans="1:7" x14ac:dyDescent="0.2">
      <c r="A18" s="10" t="s">
        <v>243</v>
      </c>
      <c r="B18">
        <f>O52</f>
        <v>0</v>
      </c>
      <c r="D18" s="120">
        <f t="shared" si="0"/>
        <v>0</v>
      </c>
    </row>
    <row r="19" spans="1:7" x14ac:dyDescent="0.2">
      <c r="A19" s="10" t="s">
        <v>244</v>
      </c>
      <c r="B19">
        <f>O61</f>
        <v>0</v>
      </c>
      <c r="D19" s="120">
        <f t="shared" si="0"/>
        <v>0</v>
      </c>
    </row>
    <row r="20" spans="1:7" x14ac:dyDescent="0.2">
      <c r="A20" s="10" t="s">
        <v>245</v>
      </c>
      <c r="B20">
        <f>T49</f>
        <v>0</v>
      </c>
      <c r="D20" s="120">
        <f t="shared" si="0"/>
        <v>0</v>
      </c>
    </row>
    <row r="21" spans="1:7" x14ac:dyDescent="0.2">
      <c r="A21" s="10" t="s">
        <v>246</v>
      </c>
      <c r="B21">
        <f>T55</f>
        <v>0</v>
      </c>
      <c r="D21" s="120">
        <f t="shared" si="0"/>
        <v>0</v>
      </c>
    </row>
    <row r="22" spans="1:7" x14ac:dyDescent="0.2">
      <c r="A22" s="10" t="s">
        <v>247</v>
      </c>
      <c r="B22">
        <f>T61</f>
        <v>0</v>
      </c>
      <c r="D22" s="120">
        <f t="shared" si="0"/>
        <v>0</v>
      </c>
    </row>
    <row r="23" spans="1:7" x14ac:dyDescent="0.2">
      <c r="A23" s="10" t="s">
        <v>248</v>
      </c>
      <c r="B23">
        <f>Y53</f>
        <v>0</v>
      </c>
      <c r="D23" s="120">
        <f t="shared" si="0"/>
        <v>0</v>
      </c>
    </row>
    <row r="24" spans="1:7" x14ac:dyDescent="0.2">
      <c r="A24" s="10" t="s">
        <v>20</v>
      </c>
      <c r="B24">
        <f>AD70</f>
        <v>0</v>
      </c>
      <c r="D24" s="120">
        <f t="shared" si="0"/>
        <v>0</v>
      </c>
    </row>
    <row r="25" spans="1:7" x14ac:dyDescent="0.2">
      <c r="A25" s="10" t="s">
        <v>249</v>
      </c>
      <c r="B25">
        <f>E78</f>
        <v>0</v>
      </c>
      <c r="D25" s="120">
        <f t="shared" si="0"/>
        <v>0</v>
      </c>
    </row>
    <row r="26" spans="1:7" x14ac:dyDescent="0.2">
      <c r="A26" s="10" t="s">
        <v>250</v>
      </c>
      <c r="B26">
        <f>E83</f>
        <v>0</v>
      </c>
      <c r="D26" s="120">
        <f t="shared" si="0"/>
        <v>0</v>
      </c>
    </row>
    <row r="27" spans="1:7" x14ac:dyDescent="0.2">
      <c r="A27" s="90" t="s">
        <v>251</v>
      </c>
      <c r="B27" s="3">
        <f>SUM(B15:B26)</f>
        <v>4.2999999999999999E-4</v>
      </c>
      <c r="D27" s="121">
        <f>SUM(D15:D26)</f>
        <v>1</v>
      </c>
    </row>
    <row r="28" spans="1:7" x14ac:dyDescent="0.2">
      <c r="B28" s="3"/>
      <c r="C28" s="3"/>
      <c r="D28" s="3"/>
      <c r="E28" s="3"/>
      <c r="F28" s="3"/>
      <c r="G28" s="3"/>
    </row>
    <row r="29" spans="1:7" x14ac:dyDescent="0.2">
      <c r="A29" s="90" t="s">
        <v>252</v>
      </c>
    </row>
    <row r="31" spans="1:7" x14ac:dyDescent="0.2">
      <c r="A31" t="s">
        <v>253</v>
      </c>
    </row>
    <row r="32" spans="1:7" ht="13.5" thickBot="1" x14ac:dyDescent="0.25">
      <c r="B32" s="89" t="s">
        <v>254</v>
      </c>
    </row>
    <row r="33" spans="1:32" x14ac:dyDescent="0.2">
      <c r="A33" s="109" t="s">
        <v>240</v>
      </c>
      <c r="B33" s="110"/>
      <c r="C33" s="110"/>
      <c r="D33" s="111" t="s">
        <v>255</v>
      </c>
      <c r="E33" s="112" t="s">
        <v>256</v>
      </c>
      <c r="F33" s="109" t="s">
        <v>241</v>
      </c>
      <c r="G33" s="110"/>
      <c r="H33" s="110"/>
      <c r="I33" s="111" t="s">
        <v>255</v>
      </c>
      <c r="J33" s="111" t="s">
        <v>256</v>
      </c>
      <c r="K33" s="109" t="s">
        <v>243</v>
      </c>
      <c r="L33" s="110"/>
      <c r="M33" s="110"/>
      <c r="N33" s="111" t="s">
        <v>255</v>
      </c>
      <c r="O33" s="112" t="s">
        <v>256</v>
      </c>
      <c r="P33" s="109" t="s">
        <v>257</v>
      </c>
      <c r="Q33" s="110"/>
      <c r="R33" s="110"/>
      <c r="S33" s="111" t="s">
        <v>255</v>
      </c>
      <c r="T33" s="112" t="s">
        <v>256</v>
      </c>
      <c r="U33" s="109" t="s">
        <v>248</v>
      </c>
      <c r="V33" s="110"/>
      <c r="W33" s="110"/>
      <c r="X33" s="111" t="s">
        <v>255</v>
      </c>
      <c r="Y33" s="111" t="s">
        <v>256</v>
      </c>
      <c r="Z33" s="109" t="s">
        <v>258</v>
      </c>
      <c r="AA33" s="110"/>
      <c r="AB33" s="110"/>
      <c r="AC33" s="110"/>
      <c r="AD33" s="117"/>
    </row>
    <row r="34" spans="1:32" x14ac:dyDescent="0.2">
      <c r="A34" s="38" t="s">
        <v>259</v>
      </c>
      <c r="C34">
        <v>0.43</v>
      </c>
      <c r="D34" s="65">
        <v>1</v>
      </c>
      <c r="E34" s="113">
        <f>D34/1000*C34</f>
        <v>4.2999999999999999E-4</v>
      </c>
      <c r="F34" s="38" t="s">
        <v>260</v>
      </c>
      <c r="H34">
        <v>0.15</v>
      </c>
      <c r="I34" s="65"/>
      <c r="J34" s="84">
        <f>I34/1000*H34</f>
        <v>0</v>
      </c>
      <c r="K34" s="38" t="s">
        <v>261</v>
      </c>
      <c r="M34">
        <v>2.25</v>
      </c>
      <c r="N34" s="65"/>
      <c r="O34" s="113">
        <f>N34/1000*M34</f>
        <v>0</v>
      </c>
      <c r="P34" s="38" t="s">
        <v>262</v>
      </c>
      <c r="R34">
        <v>2.5</v>
      </c>
      <c r="S34" s="65"/>
      <c r="T34" s="113">
        <f>S34/1000*R34</f>
        <v>0</v>
      </c>
      <c r="U34" s="38" t="s">
        <v>263</v>
      </c>
      <c r="W34">
        <v>0.8</v>
      </c>
      <c r="X34" s="65"/>
      <c r="Y34" s="84">
        <f>X34/1000*W34</f>
        <v>0</v>
      </c>
      <c r="Z34" s="38" t="s">
        <v>264</v>
      </c>
      <c r="AB34">
        <v>1</v>
      </c>
      <c r="AC34" s="65"/>
      <c r="AD34" s="113">
        <f t="shared" ref="AD34:AD40" si="1">AC34/1000*AB34</f>
        <v>0</v>
      </c>
    </row>
    <row r="35" spans="1:32" x14ac:dyDescent="0.2">
      <c r="A35" s="38" t="s">
        <v>265</v>
      </c>
      <c r="C35">
        <v>1.78</v>
      </c>
      <c r="D35" s="65"/>
      <c r="E35" s="113">
        <f t="shared" ref="E35:E51" si="2">D35/1000*C35</f>
        <v>0</v>
      </c>
      <c r="F35" s="38" t="s">
        <v>266</v>
      </c>
      <c r="H35">
        <v>0.15</v>
      </c>
      <c r="I35" s="65"/>
      <c r="J35" s="84">
        <f t="shared" ref="J35:J40" si="3">I35/1000*H35</f>
        <v>0</v>
      </c>
      <c r="K35" s="38" t="s">
        <v>267</v>
      </c>
      <c r="M35">
        <v>1.2</v>
      </c>
      <c r="N35" s="65"/>
      <c r="O35" s="113">
        <f t="shared" ref="O35:O51" si="4">N35/1000*M35</f>
        <v>0</v>
      </c>
      <c r="P35" s="38" t="s">
        <v>268</v>
      </c>
      <c r="R35">
        <v>27.85</v>
      </c>
      <c r="S35" s="65"/>
      <c r="T35" s="113">
        <f>S35/1000*R35</f>
        <v>0</v>
      </c>
      <c r="U35" s="38" t="s">
        <v>269</v>
      </c>
      <c r="W35">
        <v>1.5</v>
      </c>
      <c r="X35" s="65"/>
      <c r="Y35" s="84">
        <f t="shared" ref="Y35:Y52" si="5">X35/1000*W35</f>
        <v>0</v>
      </c>
      <c r="Z35" s="38" t="s">
        <v>270</v>
      </c>
      <c r="AB35">
        <v>0.59</v>
      </c>
      <c r="AC35" s="65"/>
      <c r="AD35" s="113">
        <f t="shared" si="1"/>
        <v>0</v>
      </c>
    </row>
    <row r="36" spans="1:32" x14ac:dyDescent="0.2">
      <c r="A36" s="38" t="s">
        <v>271</v>
      </c>
      <c r="C36">
        <v>1</v>
      </c>
      <c r="D36" s="65"/>
      <c r="E36" s="113">
        <f t="shared" si="2"/>
        <v>0</v>
      </c>
      <c r="F36" s="38" t="s">
        <v>272</v>
      </c>
      <c r="H36">
        <v>0.15</v>
      </c>
      <c r="I36" s="65"/>
      <c r="J36" s="84">
        <f t="shared" si="3"/>
        <v>0</v>
      </c>
      <c r="K36" s="38" t="s">
        <v>273</v>
      </c>
      <c r="M36">
        <v>0.2</v>
      </c>
      <c r="N36" s="65"/>
      <c r="O36" s="113">
        <f t="shared" si="4"/>
        <v>0</v>
      </c>
      <c r="P36" s="38" t="s">
        <v>274</v>
      </c>
      <c r="R36">
        <v>3.78</v>
      </c>
      <c r="S36" s="65"/>
      <c r="T36" s="113">
        <f t="shared" ref="T36:T48" si="6">S36/1000*R36</f>
        <v>0</v>
      </c>
      <c r="U36" s="38" t="s">
        <v>275</v>
      </c>
      <c r="W36">
        <v>1.32</v>
      </c>
      <c r="X36" s="65"/>
      <c r="Y36" s="84">
        <f t="shared" si="5"/>
        <v>0</v>
      </c>
      <c r="Z36" s="38" t="s">
        <v>276</v>
      </c>
      <c r="AB36">
        <v>0.59</v>
      </c>
      <c r="AC36" s="65"/>
      <c r="AD36" s="113">
        <f t="shared" si="1"/>
        <v>0</v>
      </c>
    </row>
    <row r="37" spans="1:32" x14ac:dyDescent="0.2">
      <c r="A37" s="38" t="s">
        <v>277</v>
      </c>
      <c r="C37">
        <v>1</v>
      </c>
      <c r="D37" s="65"/>
      <c r="E37" s="113">
        <f t="shared" si="2"/>
        <v>0</v>
      </c>
      <c r="F37" s="38" t="s">
        <v>278</v>
      </c>
      <c r="H37">
        <v>0.2</v>
      </c>
      <c r="I37" s="65"/>
      <c r="J37" s="84">
        <f t="shared" si="3"/>
        <v>0</v>
      </c>
      <c r="K37" s="38" t="s">
        <v>279</v>
      </c>
      <c r="M37">
        <v>0.2</v>
      </c>
      <c r="N37" s="65"/>
      <c r="O37" s="113">
        <f t="shared" si="4"/>
        <v>0</v>
      </c>
      <c r="P37" s="38" t="s">
        <v>280</v>
      </c>
      <c r="R37">
        <v>3.5</v>
      </c>
      <c r="S37" s="65"/>
      <c r="T37" s="113">
        <f t="shared" si="6"/>
        <v>0</v>
      </c>
      <c r="U37" s="38" t="s">
        <v>281</v>
      </c>
      <c r="W37">
        <v>1</v>
      </c>
      <c r="X37" s="65"/>
      <c r="Y37" s="84">
        <f t="shared" si="5"/>
        <v>0</v>
      </c>
      <c r="Z37" s="38" t="s">
        <v>282</v>
      </c>
      <c r="AB37">
        <v>3.46</v>
      </c>
      <c r="AC37" s="65"/>
      <c r="AD37" s="113">
        <f t="shared" si="1"/>
        <v>0</v>
      </c>
    </row>
    <row r="38" spans="1:32" x14ac:dyDescent="0.2">
      <c r="A38" s="38" t="s">
        <v>283</v>
      </c>
      <c r="C38">
        <v>0.51</v>
      </c>
      <c r="D38" s="65"/>
      <c r="E38" s="113">
        <f t="shared" si="2"/>
        <v>0</v>
      </c>
      <c r="F38" s="38" t="s">
        <v>284</v>
      </c>
      <c r="H38">
        <v>0.18</v>
      </c>
      <c r="I38" s="65"/>
      <c r="J38" s="84">
        <f t="shared" si="3"/>
        <v>0</v>
      </c>
      <c r="K38" s="38" t="s">
        <v>285</v>
      </c>
      <c r="M38">
        <v>4.0999999999999996</v>
      </c>
      <c r="N38" s="65"/>
      <c r="O38" s="113">
        <f t="shared" si="4"/>
        <v>0</v>
      </c>
      <c r="P38" s="38" t="s">
        <v>286</v>
      </c>
      <c r="R38">
        <v>12.04</v>
      </c>
      <c r="S38" s="65"/>
      <c r="T38" s="113">
        <f t="shared" si="6"/>
        <v>0</v>
      </c>
      <c r="U38" s="38" t="s">
        <v>287</v>
      </c>
      <c r="W38">
        <v>1.1599999999999999</v>
      </c>
      <c r="X38" s="65"/>
      <c r="Y38" s="84">
        <f t="shared" si="5"/>
        <v>0</v>
      </c>
      <c r="Z38" s="38" t="s">
        <v>288</v>
      </c>
      <c r="AB38">
        <v>0.59</v>
      </c>
      <c r="AC38" s="65"/>
      <c r="AD38" s="113">
        <f t="shared" si="1"/>
        <v>0</v>
      </c>
    </row>
    <row r="39" spans="1:32" x14ac:dyDescent="0.2">
      <c r="A39" s="38" t="s">
        <v>289</v>
      </c>
      <c r="C39">
        <v>0.15</v>
      </c>
      <c r="D39" s="65"/>
      <c r="E39" s="113">
        <f t="shared" si="2"/>
        <v>0</v>
      </c>
      <c r="F39" s="38" t="s">
        <v>290</v>
      </c>
      <c r="H39">
        <v>0.15</v>
      </c>
      <c r="I39" s="65"/>
      <c r="J39" s="84">
        <f t="shared" si="3"/>
        <v>0</v>
      </c>
      <c r="K39" s="38" t="s">
        <v>291</v>
      </c>
      <c r="M39">
        <v>3.24</v>
      </c>
      <c r="N39" s="65"/>
      <c r="O39" s="113">
        <f t="shared" si="4"/>
        <v>0</v>
      </c>
      <c r="P39" s="38" t="s">
        <v>292</v>
      </c>
      <c r="R39">
        <v>31.07</v>
      </c>
      <c r="S39" s="65"/>
      <c r="T39" s="113">
        <f t="shared" si="6"/>
        <v>0</v>
      </c>
      <c r="U39" s="38" t="s">
        <v>293</v>
      </c>
      <c r="W39">
        <v>5.04</v>
      </c>
      <c r="X39" s="65"/>
      <c r="Y39" s="84">
        <f t="shared" si="5"/>
        <v>0</v>
      </c>
      <c r="Z39" s="131" t="s">
        <v>294</v>
      </c>
      <c r="AB39">
        <v>0.1</v>
      </c>
      <c r="AC39" s="65"/>
      <c r="AD39" s="113">
        <f t="shared" si="1"/>
        <v>0</v>
      </c>
    </row>
    <row r="40" spans="1:32" x14ac:dyDescent="0.2">
      <c r="A40" s="38" t="s">
        <v>295</v>
      </c>
      <c r="C40">
        <v>0.43</v>
      </c>
      <c r="D40" s="65"/>
      <c r="E40" s="113">
        <f t="shared" si="2"/>
        <v>0</v>
      </c>
      <c r="F40" s="38" t="s">
        <v>296</v>
      </c>
      <c r="H40">
        <v>0.15</v>
      </c>
      <c r="I40" s="65"/>
      <c r="J40" s="84">
        <f t="shared" si="3"/>
        <v>0</v>
      </c>
      <c r="K40" s="38" t="s">
        <v>297</v>
      </c>
      <c r="M40">
        <v>0.18</v>
      </c>
      <c r="N40" s="65"/>
      <c r="O40" s="113">
        <f t="shared" si="4"/>
        <v>0</v>
      </c>
      <c r="P40" s="38" t="s">
        <v>298</v>
      </c>
      <c r="R40">
        <v>26.2</v>
      </c>
      <c r="S40" s="65"/>
      <c r="T40" s="113">
        <f t="shared" si="6"/>
        <v>0</v>
      </c>
      <c r="U40" s="38" t="s">
        <v>299</v>
      </c>
      <c r="W40">
        <v>1.32</v>
      </c>
      <c r="X40" s="65"/>
      <c r="Y40" s="84">
        <f t="shared" si="5"/>
        <v>0</v>
      </c>
      <c r="Z40" s="38" t="s">
        <v>300</v>
      </c>
      <c r="AB40">
        <v>0.8</v>
      </c>
      <c r="AC40" s="65"/>
      <c r="AD40" s="113">
        <f t="shared" si="1"/>
        <v>0</v>
      </c>
    </row>
    <row r="41" spans="1:32" ht="13.5" thickBot="1" x14ac:dyDescent="0.25">
      <c r="A41" s="38" t="s">
        <v>301</v>
      </c>
      <c r="C41">
        <v>1</v>
      </c>
      <c r="D41" s="65"/>
      <c r="E41" s="113">
        <f t="shared" si="2"/>
        <v>0</v>
      </c>
      <c r="F41" s="114"/>
      <c r="G41" s="115"/>
      <c r="H41" s="115"/>
      <c r="I41" s="115"/>
      <c r="J41" s="119">
        <f>SUM(J34:J40)</f>
        <v>0</v>
      </c>
      <c r="K41" s="38" t="s">
        <v>302</v>
      </c>
      <c r="M41">
        <v>3.24</v>
      </c>
      <c r="N41" s="65"/>
      <c r="O41" s="113">
        <f t="shared" si="4"/>
        <v>0</v>
      </c>
      <c r="P41" s="38" t="s">
        <v>303</v>
      </c>
      <c r="R41">
        <v>28.68</v>
      </c>
      <c r="S41" s="65"/>
      <c r="T41" s="113">
        <f t="shared" si="6"/>
        <v>0</v>
      </c>
      <c r="U41" s="38" t="s">
        <v>304</v>
      </c>
      <c r="W41">
        <v>12.2</v>
      </c>
      <c r="X41" s="65"/>
      <c r="Y41" s="84">
        <f t="shared" si="5"/>
        <v>0</v>
      </c>
      <c r="Z41" s="38" t="s">
        <v>305</v>
      </c>
      <c r="AB41">
        <v>4.87</v>
      </c>
      <c r="AC41" s="65"/>
      <c r="AD41" s="113">
        <f t="shared" ref="AD41:AD69" si="7">AC41/1000*AB41</f>
        <v>0</v>
      </c>
    </row>
    <row r="42" spans="1:32" ht="13.5" thickBot="1" x14ac:dyDescent="0.25">
      <c r="A42" s="38" t="s">
        <v>306</v>
      </c>
      <c r="C42">
        <v>1.78</v>
      </c>
      <c r="D42" s="65"/>
      <c r="E42" s="113">
        <f t="shared" si="2"/>
        <v>0</v>
      </c>
      <c r="K42" s="38" t="s">
        <v>307</v>
      </c>
      <c r="M42">
        <v>7.5</v>
      </c>
      <c r="N42" s="65"/>
      <c r="O42" s="113">
        <f t="shared" si="4"/>
        <v>0</v>
      </c>
      <c r="P42" s="38" t="s">
        <v>308</v>
      </c>
      <c r="R42">
        <v>23.9</v>
      </c>
      <c r="S42" s="65"/>
      <c r="T42" s="113">
        <f t="shared" si="6"/>
        <v>0</v>
      </c>
      <c r="U42" s="38" t="s">
        <v>309</v>
      </c>
      <c r="W42">
        <v>12.2</v>
      </c>
      <c r="X42" s="65"/>
      <c r="Y42" s="84">
        <f t="shared" si="5"/>
        <v>0</v>
      </c>
      <c r="Z42" s="131" t="s">
        <v>310</v>
      </c>
      <c r="AB42">
        <v>0.9</v>
      </c>
      <c r="AC42" s="65"/>
      <c r="AD42" s="113">
        <f t="shared" si="7"/>
        <v>0</v>
      </c>
    </row>
    <row r="43" spans="1:32" x14ac:dyDescent="0.2">
      <c r="A43" s="38" t="s">
        <v>311</v>
      </c>
      <c r="C43">
        <v>0.15</v>
      </c>
      <c r="D43" s="65">
        <v>0</v>
      </c>
      <c r="E43" s="84">
        <f t="shared" si="2"/>
        <v>0</v>
      </c>
      <c r="F43" s="109" t="s">
        <v>242</v>
      </c>
      <c r="G43" s="110"/>
      <c r="H43" s="110"/>
      <c r="I43" s="110"/>
      <c r="J43" s="110"/>
      <c r="K43" s="38" t="s">
        <v>312</v>
      </c>
      <c r="M43">
        <v>3.3</v>
      </c>
      <c r="N43" s="65"/>
      <c r="O43" s="113">
        <f t="shared" si="4"/>
        <v>0</v>
      </c>
      <c r="P43" s="38" t="s">
        <v>313</v>
      </c>
      <c r="R43">
        <v>12.04</v>
      </c>
      <c r="S43" s="65"/>
      <c r="T43" s="113">
        <f t="shared" si="6"/>
        <v>0</v>
      </c>
      <c r="U43" s="130" t="s">
        <v>314</v>
      </c>
      <c r="W43">
        <v>1.7</v>
      </c>
      <c r="X43" s="65"/>
      <c r="Y43" s="84">
        <f t="shared" si="5"/>
        <v>0</v>
      </c>
      <c r="Z43" s="38" t="s">
        <v>315</v>
      </c>
      <c r="AB43">
        <v>1</v>
      </c>
      <c r="AC43" s="65"/>
      <c r="AD43" s="113">
        <f t="shared" si="7"/>
        <v>0</v>
      </c>
    </row>
    <row r="44" spans="1:32" x14ac:dyDescent="0.2">
      <c r="A44" s="38" t="s">
        <v>316</v>
      </c>
      <c r="C44">
        <v>0.1</v>
      </c>
      <c r="D44" s="65"/>
      <c r="E44" s="84">
        <f t="shared" si="2"/>
        <v>0</v>
      </c>
      <c r="F44" s="38" t="s">
        <v>317</v>
      </c>
      <c r="H44">
        <v>0.25</v>
      </c>
      <c r="I44" s="65"/>
      <c r="J44" s="84">
        <f t="shared" ref="J44:J80" si="8">I44/1000*H44</f>
        <v>0</v>
      </c>
      <c r="K44" s="38" t="s">
        <v>318</v>
      </c>
      <c r="M44">
        <v>3.3</v>
      </c>
      <c r="N44" s="65"/>
      <c r="O44" s="113">
        <f t="shared" si="4"/>
        <v>0</v>
      </c>
      <c r="P44" s="38" t="s">
        <v>319</v>
      </c>
      <c r="R44">
        <v>2.5</v>
      </c>
      <c r="S44" s="65"/>
      <c r="T44" s="113">
        <f t="shared" si="6"/>
        <v>0</v>
      </c>
      <c r="U44" s="38" t="s">
        <v>320</v>
      </c>
      <c r="W44">
        <v>1.32</v>
      </c>
      <c r="X44" s="65"/>
      <c r="Y44" s="84">
        <f t="shared" si="5"/>
        <v>0</v>
      </c>
      <c r="Z44" s="38" t="s">
        <v>321</v>
      </c>
      <c r="AB44">
        <v>0.7</v>
      </c>
      <c r="AC44" s="65"/>
      <c r="AD44" s="113">
        <f t="shared" si="7"/>
        <v>0</v>
      </c>
    </row>
    <row r="45" spans="1:32" x14ac:dyDescent="0.2">
      <c r="A45" s="38" t="s">
        <v>322</v>
      </c>
      <c r="C45">
        <v>0.1</v>
      </c>
      <c r="D45" s="65">
        <v>0</v>
      </c>
      <c r="E45" s="84">
        <f t="shared" si="2"/>
        <v>0</v>
      </c>
      <c r="F45" s="38" t="s">
        <v>323</v>
      </c>
      <c r="H45">
        <v>0.25</v>
      </c>
      <c r="I45" s="65"/>
      <c r="J45" s="84">
        <f t="shared" si="8"/>
        <v>0</v>
      </c>
      <c r="K45" s="38" t="s">
        <v>324</v>
      </c>
      <c r="M45">
        <v>1.2</v>
      </c>
      <c r="N45" s="65"/>
      <c r="O45" s="113">
        <f t="shared" si="4"/>
        <v>0</v>
      </c>
      <c r="P45" s="38" t="s">
        <v>325</v>
      </c>
      <c r="R45">
        <v>2.5</v>
      </c>
      <c r="S45" s="65"/>
      <c r="T45" s="113">
        <f t="shared" si="6"/>
        <v>0</v>
      </c>
      <c r="U45" s="38" t="s">
        <v>326</v>
      </c>
      <c r="W45">
        <v>1.32</v>
      </c>
      <c r="X45" s="65"/>
      <c r="Y45" s="84">
        <f t="shared" si="5"/>
        <v>0</v>
      </c>
      <c r="Z45" s="38" t="s">
        <v>327</v>
      </c>
      <c r="AB45">
        <v>2</v>
      </c>
      <c r="AC45" s="65"/>
      <c r="AD45" s="113">
        <f t="shared" si="7"/>
        <v>0</v>
      </c>
      <c r="AF45">
        <f>0.2/3</f>
        <v>6.6666666666666666E-2</v>
      </c>
    </row>
    <row r="46" spans="1:32" x14ac:dyDescent="0.2">
      <c r="A46" s="38" t="s">
        <v>328</v>
      </c>
      <c r="C46">
        <v>0.88</v>
      </c>
      <c r="D46" s="65"/>
      <c r="E46" s="84">
        <f t="shared" si="2"/>
        <v>0</v>
      </c>
      <c r="F46" s="38" t="s">
        <v>329</v>
      </c>
      <c r="H46">
        <v>50</v>
      </c>
      <c r="I46" s="65"/>
      <c r="J46" s="84">
        <f t="shared" si="8"/>
        <v>0</v>
      </c>
      <c r="K46" s="38" t="s">
        <v>330</v>
      </c>
      <c r="M46">
        <v>0.59</v>
      </c>
      <c r="N46" s="65"/>
      <c r="O46" s="113">
        <f t="shared" si="4"/>
        <v>0</v>
      </c>
      <c r="P46" s="38" t="s">
        <v>331</v>
      </c>
      <c r="R46">
        <v>15.04</v>
      </c>
      <c r="S46" s="65"/>
      <c r="T46" s="113">
        <f t="shared" si="6"/>
        <v>0</v>
      </c>
      <c r="U46" s="38" t="s">
        <v>332</v>
      </c>
      <c r="W46">
        <v>1.18</v>
      </c>
      <c r="X46" s="65"/>
      <c r="Y46" s="84">
        <f t="shared" si="5"/>
        <v>0</v>
      </c>
      <c r="Z46" s="38" t="s">
        <v>333</v>
      </c>
      <c r="AB46">
        <v>0.59</v>
      </c>
      <c r="AC46" s="65"/>
      <c r="AD46" s="113">
        <f t="shared" si="7"/>
        <v>0</v>
      </c>
    </row>
    <row r="47" spans="1:32" x14ac:dyDescent="0.2">
      <c r="A47" s="38" t="s">
        <v>334</v>
      </c>
      <c r="C47">
        <v>1</v>
      </c>
      <c r="D47" s="65"/>
      <c r="E47" s="84">
        <f t="shared" si="2"/>
        <v>0</v>
      </c>
      <c r="F47" s="38" t="s">
        <v>335</v>
      </c>
      <c r="H47">
        <v>0.7</v>
      </c>
      <c r="I47" s="65"/>
      <c r="J47" s="84">
        <f t="shared" si="8"/>
        <v>0</v>
      </c>
      <c r="K47" s="38" t="s">
        <v>336</v>
      </c>
      <c r="M47">
        <v>0.59</v>
      </c>
      <c r="N47" s="65"/>
      <c r="O47" s="113">
        <f t="shared" si="4"/>
        <v>0</v>
      </c>
      <c r="P47" s="38" t="s">
        <v>337</v>
      </c>
      <c r="R47">
        <v>3.44</v>
      </c>
      <c r="S47" s="65"/>
      <c r="T47" s="113">
        <f t="shared" si="6"/>
        <v>0</v>
      </c>
      <c r="U47" s="38" t="s">
        <v>338</v>
      </c>
      <c r="W47">
        <v>1.2</v>
      </c>
      <c r="X47" s="65"/>
      <c r="Y47" s="84">
        <f t="shared" si="5"/>
        <v>0</v>
      </c>
      <c r="Z47" s="38" t="s">
        <v>339</v>
      </c>
      <c r="AB47">
        <v>1</v>
      </c>
      <c r="AC47" s="65"/>
      <c r="AD47" s="113">
        <f t="shared" si="7"/>
        <v>0</v>
      </c>
    </row>
    <row r="48" spans="1:32" x14ac:dyDescent="0.2">
      <c r="A48" s="38" t="s">
        <v>340</v>
      </c>
      <c r="C48">
        <v>0.1</v>
      </c>
      <c r="D48" s="65"/>
      <c r="E48" s="84">
        <f t="shared" si="2"/>
        <v>0</v>
      </c>
      <c r="F48" s="38" t="s">
        <v>341</v>
      </c>
      <c r="H48">
        <v>0.7</v>
      </c>
      <c r="I48" s="65"/>
      <c r="J48" s="84">
        <f t="shared" si="8"/>
        <v>0</v>
      </c>
      <c r="K48" s="38" t="s">
        <v>342</v>
      </c>
      <c r="M48">
        <v>3</v>
      </c>
      <c r="N48" s="65"/>
      <c r="O48" s="113">
        <f t="shared" si="4"/>
        <v>0</v>
      </c>
      <c r="P48" s="38" t="s">
        <v>343</v>
      </c>
      <c r="R48">
        <v>2.31</v>
      </c>
      <c r="S48" s="65"/>
      <c r="T48" s="113">
        <f t="shared" si="6"/>
        <v>0</v>
      </c>
      <c r="U48" s="38" t="s">
        <v>344</v>
      </c>
      <c r="W48">
        <v>0.55000000000000004</v>
      </c>
      <c r="X48" s="65"/>
      <c r="Y48" s="84">
        <f t="shared" si="5"/>
        <v>0</v>
      </c>
      <c r="Z48" s="38" t="s">
        <v>345</v>
      </c>
      <c r="AB48">
        <v>0.8</v>
      </c>
      <c r="AC48" s="65"/>
      <c r="AD48" s="113">
        <f t="shared" si="7"/>
        <v>0</v>
      </c>
    </row>
    <row r="49" spans="1:30" ht="13.5" thickBot="1" x14ac:dyDescent="0.25">
      <c r="A49" s="38" t="s">
        <v>346</v>
      </c>
      <c r="C49">
        <v>1</v>
      </c>
      <c r="D49" s="65"/>
      <c r="E49" s="84">
        <f t="shared" si="2"/>
        <v>0</v>
      </c>
      <c r="F49" s="38" t="s">
        <v>347</v>
      </c>
      <c r="H49">
        <v>0.25</v>
      </c>
      <c r="I49" s="65"/>
      <c r="J49" s="84">
        <f t="shared" si="8"/>
        <v>0</v>
      </c>
      <c r="K49" s="38" t="s">
        <v>348</v>
      </c>
      <c r="M49">
        <v>2.6</v>
      </c>
      <c r="N49" s="65"/>
      <c r="O49" s="113">
        <f t="shared" si="4"/>
        <v>0</v>
      </c>
      <c r="P49" s="114"/>
      <c r="Q49" s="115"/>
      <c r="R49" s="115"/>
      <c r="S49" s="115"/>
      <c r="T49" s="116">
        <f>SUM(T34:T48)</f>
        <v>0</v>
      </c>
      <c r="U49" s="38" t="s">
        <v>349</v>
      </c>
      <c r="W49">
        <v>1.02</v>
      </c>
      <c r="X49" s="65"/>
      <c r="Y49" s="84">
        <f t="shared" si="5"/>
        <v>0</v>
      </c>
      <c r="Z49" s="38" t="s">
        <v>350</v>
      </c>
      <c r="AB49">
        <v>0.28999999999999998</v>
      </c>
      <c r="AC49" s="65"/>
      <c r="AD49" s="113">
        <f t="shared" si="7"/>
        <v>0</v>
      </c>
    </row>
    <row r="50" spans="1:30" x14ac:dyDescent="0.2">
      <c r="A50" s="38" t="s">
        <v>351</v>
      </c>
      <c r="C50">
        <v>0.15</v>
      </c>
      <c r="D50" s="65"/>
      <c r="E50" s="84">
        <f t="shared" si="2"/>
        <v>0</v>
      </c>
      <c r="F50" s="38" t="s">
        <v>352</v>
      </c>
      <c r="H50">
        <v>0.25</v>
      </c>
      <c r="I50" s="65"/>
      <c r="J50" s="84">
        <f t="shared" si="8"/>
        <v>0</v>
      </c>
      <c r="K50" s="38" t="s">
        <v>353</v>
      </c>
      <c r="M50">
        <v>1.2</v>
      </c>
      <c r="N50" s="65"/>
      <c r="O50" s="113">
        <f t="shared" si="4"/>
        <v>0</v>
      </c>
      <c r="P50" s="109" t="s">
        <v>246</v>
      </c>
      <c r="Q50" s="110"/>
      <c r="R50" s="110"/>
      <c r="S50" s="110"/>
      <c r="T50" s="117"/>
      <c r="U50" s="38" t="s">
        <v>354</v>
      </c>
      <c r="W50">
        <v>1.1599999999999999</v>
      </c>
      <c r="X50" s="65"/>
      <c r="Y50" s="84">
        <f t="shared" si="5"/>
        <v>0</v>
      </c>
      <c r="Z50" s="38" t="s">
        <v>355</v>
      </c>
      <c r="AB50">
        <v>1.1000000000000001</v>
      </c>
      <c r="AC50" s="65"/>
      <c r="AD50" s="113">
        <f t="shared" si="7"/>
        <v>0</v>
      </c>
    </row>
    <row r="51" spans="1:30" x14ac:dyDescent="0.2">
      <c r="A51" s="38" t="s">
        <v>356</v>
      </c>
      <c r="C51">
        <v>0.42</v>
      </c>
      <c r="D51" s="65"/>
      <c r="E51" s="84">
        <f t="shared" si="2"/>
        <v>0</v>
      </c>
      <c r="F51" s="38" t="s">
        <v>357</v>
      </c>
      <c r="H51">
        <v>0.39</v>
      </c>
      <c r="I51" s="65"/>
      <c r="J51" s="84">
        <f t="shared" si="8"/>
        <v>0</v>
      </c>
      <c r="K51" s="38" t="s">
        <v>358</v>
      </c>
      <c r="M51">
        <v>1.2</v>
      </c>
      <c r="N51" s="65"/>
      <c r="O51" s="113">
        <f t="shared" si="4"/>
        <v>0</v>
      </c>
      <c r="P51" s="38" t="s">
        <v>359</v>
      </c>
      <c r="R51">
        <v>3.2</v>
      </c>
      <c r="S51" s="65"/>
      <c r="T51" s="113">
        <f>S51/1000*R51</f>
        <v>0</v>
      </c>
      <c r="U51" s="38" t="s">
        <v>360</v>
      </c>
      <c r="W51">
        <v>6</v>
      </c>
      <c r="X51" s="65"/>
      <c r="Y51" s="84">
        <f t="shared" si="5"/>
        <v>0</v>
      </c>
      <c r="Z51" s="38" t="s">
        <v>361</v>
      </c>
      <c r="AB51">
        <v>0.9</v>
      </c>
      <c r="AC51" s="65"/>
      <c r="AD51" s="113">
        <f t="shared" si="7"/>
        <v>0</v>
      </c>
    </row>
    <row r="52" spans="1:30" ht="13.5" thickBot="1" x14ac:dyDescent="0.25">
      <c r="A52" s="114"/>
      <c r="B52" s="115"/>
      <c r="C52" s="115"/>
      <c r="D52" s="115"/>
      <c r="E52" s="119">
        <f>SUM(E34:E51)</f>
        <v>4.2999999999999999E-4</v>
      </c>
      <c r="F52" s="38" t="s">
        <v>362</v>
      </c>
      <c r="H52">
        <v>1.3</v>
      </c>
      <c r="I52" s="65"/>
      <c r="J52" s="84">
        <f t="shared" si="8"/>
        <v>0</v>
      </c>
      <c r="K52" s="114"/>
      <c r="L52" s="115"/>
      <c r="M52" s="115"/>
      <c r="N52" s="115"/>
      <c r="O52" s="116">
        <f>SUM(O34:O51)</f>
        <v>0</v>
      </c>
      <c r="P52" s="38" t="s">
        <v>363</v>
      </c>
      <c r="R52">
        <v>3.52</v>
      </c>
      <c r="S52" s="65"/>
      <c r="T52" s="113">
        <f>S52/1000*R52</f>
        <v>0</v>
      </c>
      <c r="U52" s="38" t="s">
        <v>364</v>
      </c>
      <c r="W52">
        <v>4.4000000000000004</v>
      </c>
      <c r="X52" s="65"/>
      <c r="Y52" s="84">
        <f t="shared" si="5"/>
        <v>0</v>
      </c>
      <c r="Z52" s="38" t="s">
        <v>365</v>
      </c>
      <c r="AB52">
        <v>1.26</v>
      </c>
      <c r="AC52" s="65"/>
      <c r="AD52" s="113">
        <f t="shared" si="7"/>
        <v>0</v>
      </c>
    </row>
    <row r="53" spans="1:30" ht="13.5" thickBot="1" x14ac:dyDescent="0.25">
      <c r="F53" s="38" t="s">
        <v>366</v>
      </c>
      <c r="H53">
        <v>0.25</v>
      </c>
      <c r="I53" s="65"/>
      <c r="J53" s="113">
        <f t="shared" si="8"/>
        <v>0</v>
      </c>
      <c r="K53" s="109" t="s">
        <v>244</v>
      </c>
      <c r="L53" s="110"/>
      <c r="M53" s="110"/>
      <c r="N53" s="110"/>
      <c r="O53" s="117"/>
      <c r="P53" s="38" t="s">
        <v>367</v>
      </c>
      <c r="R53">
        <v>3.2</v>
      </c>
      <c r="S53" s="65"/>
      <c r="T53" s="113">
        <f>S53/1000*R53</f>
        <v>0</v>
      </c>
      <c r="U53" s="114"/>
      <c r="V53" s="115"/>
      <c r="W53" s="115"/>
      <c r="X53" s="115"/>
      <c r="Y53" s="119">
        <f>SUM(Y34:Y52)</f>
        <v>0</v>
      </c>
      <c r="Z53" s="38" t="s">
        <v>368</v>
      </c>
      <c r="AB53">
        <v>0.59</v>
      </c>
      <c r="AC53" s="65"/>
      <c r="AD53" s="113">
        <f t="shared" si="7"/>
        <v>0</v>
      </c>
    </row>
    <row r="54" spans="1:30" x14ac:dyDescent="0.2">
      <c r="A54" s="109" t="s">
        <v>369</v>
      </c>
      <c r="B54" s="110"/>
      <c r="C54" s="110"/>
      <c r="D54" s="110"/>
      <c r="E54" s="110"/>
      <c r="F54" s="38" t="s">
        <v>370</v>
      </c>
      <c r="H54">
        <v>0.25</v>
      </c>
      <c r="I54" s="65"/>
      <c r="J54" s="113">
        <f t="shared" si="8"/>
        <v>0</v>
      </c>
      <c r="K54" s="38" t="s">
        <v>371</v>
      </c>
      <c r="M54">
        <v>33</v>
      </c>
      <c r="N54" s="65"/>
      <c r="O54" s="113">
        <f t="shared" ref="O54:O60" si="9">N54/1000*M54</f>
        <v>0</v>
      </c>
      <c r="P54" s="38" t="s">
        <v>372</v>
      </c>
      <c r="R54">
        <v>3.52</v>
      </c>
      <c r="S54" s="65"/>
      <c r="T54" s="113">
        <f>S54/1000*R54</f>
        <v>0</v>
      </c>
      <c r="Z54" s="38" t="s">
        <v>373</v>
      </c>
      <c r="AB54">
        <v>1.3</v>
      </c>
      <c r="AC54" s="65"/>
      <c r="AD54" s="113">
        <f t="shared" si="7"/>
        <v>0</v>
      </c>
    </row>
    <row r="55" spans="1:30" ht="13.5" thickBot="1" x14ac:dyDescent="0.25">
      <c r="A55" s="38" t="s">
        <v>374</v>
      </c>
      <c r="C55">
        <v>9.08</v>
      </c>
      <c r="D55" s="65"/>
      <c r="E55" s="84">
        <f t="shared" ref="E55:E77" si="10">D55/1000*C55</f>
        <v>0</v>
      </c>
      <c r="F55" s="38" t="s">
        <v>375</v>
      </c>
      <c r="H55">
        <v>4.3</v>
      </c>
      <c r="I55" s="65"/>
      <c r="J55" s="113">
        <f t="shared" si="8"/>
        <v>0</v>
      </c>
      <c r="K55" s="38" t="s">
        <v>376</v>
      </c>
      <c r="M55">
        <v>10</v>
      </c>
      <c r="N55" s="65"/>
      <c r="O55" s="113">
        <f t="shared" si="9"/>
        <v>0</v>
      </c>
      <c r="P55" s="114"/>
      <c r="Q55" s="115"/>
      <c r="R55" s="115"/>
      <c r="S55" s="115"/>
      <c r="T55" s="116">
        <f>SUM(T51:T54)</f>
        <v>0</v>
      </c>
      <c r="Z55" s="38" t="s">
        <v>377</v>
      </c>
      <c r="AB55">
        <v>0.65</v>
      </c>
      <c r="AC55" s="65"/>
      <c r="AD55" s="113">
        <f t="shared" si="7"/>
        <v>0</v>
      </c>
    </row>
    <row r="56" spans="1:30" x14ac:dyDescent="0.2">
      <c r="A56" s="38" t="s">
        <v>378</v>
      </c>
      <c r="C56">
        <v>0.02</v>
      </c>
      <c r="D56" s="65"/>
      <c r="E56" s="84">
        <f t="shared" si="10"/>
        <v>0</v>
      </c>
      <c r="F56" s="38" t="s">
        <v>266</v>
      </c>
      <c r="H56">
        <v>0.15</v>
      </c>
      <c r="I56" s="65"/>
      <c r="J56" s="113">
        <f t="shared" si="8"/>
        <v>0</v>
      </c>
      <c r="K56" s="38" t="s">
        <v>379</v>
      </c>
      <c r="M56">
        <v>3</v>
      </c>
      <c r="N56" s="65"/>
      <c r="O56" s="113">
        <f t="shared" si="9"/>
        <v>0</v>
      </c>
      <c r="P56" s="109" t="s">
        <v>247</v>
      </c>
      <c r="Q56" s="110"/>
      <c r="R56" s="110"/>
      <c r="S56" s="110"/>
      <c r="T56" s="117"/>
      <c r="Z56" s="38" t="s">
        <v>380</v>
      </c>
      <c r="AB56">
        <v>1</v>
      </c>
      <c r="AC56" s="65"/>
      <c r="AD56" s="113">
        <f t="shared" si="7"/>
        <v>0</v>
      </c>
    </row>
    <row r="57" spans="1:30" x14ac:dyDescent="0.2">
      <c r="A57" s="38" t="s">
        <v>381</v>
      </c>
      <c r="C57">
        <v>2.98</v>
      </c>
      <c r="D57" s="65"/>
      <c r="E57" s="84">
        <f t="shared" si="10"/>
        <v>0</v>
      </c>
      <c r="F57" s="38" t="s">
        <v>382</v>
      </c>
      <c r="H57">
        <v>1</v>
      </c>
      <c r="I57" s="65"/>
      <c r="J57" s="113">
        <f t="shared" si="8"/>
        <v>0</v>
      </c>
      <c r="K57" s="38" t="s">
        <v>383</v>
      </c>
      <c r="M57">
        <v>10.199999999999999</v>
      </c>
      <c r="N57" s="65"/>
      <c r="O57" s="113">
        <f t="shared" si="9"/>
        <v>0</v>
      </c>
      <c r="P57" s="38" t="s">
        <v>384</v>
      </c>
      <c r="R57">
        <v>2.21</v>
      </c>
      <c r="S57" s="65"/>
      <c r="T57" s="113">
        <f>S57/1000*R57</f>
        <v>0</v>
      </c>
      <c r="Z57" s="38" t="s">
        <v>385</v>
      </c>
      <c r="AB57">
        <v>1.1000000000000001</v>
      </c>
      <c r="AC57" s="65"/>
      <c r="AD57" s="113">
        <f t="shared" si="7"/>
        <v>0</v>
      </c>
    </row>
    <row r="58" spans="1:30" x14ac:dyDescent="0.2">
      <c r="A58" s="38" t="s">
        <v>386</v>
      </c>
      <c r="C58">
        <v>1.06</v>
      </c>
      <c r="D58" s="65"/>
      <c r="E58" s="84">
        <f t="shared" si="10"/>
        <v>0</v>
      </c>
      <c r="F58" s="38" t="s">
        <v>387</v>
      </c>
      <c r="H58">
        <v>1</v>
      </c>
      <c r="I58" s="65"/>
      <c r="J58" s="113">
        <f t="shared" si="8"/>
        <v>0</v>
      </c>
      <c r="K58" s="38" t="s">
        <v>388</v>
      </c>
      <c r="M58">
        <v>1.2</v>
      </c>
      <c r="N58" s="65"/>
      <c r="O58" s="113">
        <f t="shared" si="9"/>
        <v>0</v>
      </c>
      <c r="P58" s="38" t="s">
        <v>247</v>
      </c>
      <c r="R58">
        <v>4.5</v>
      </c>
      <c r="S58" s="65"/>
      <c r="T58" s="113">
        <f>S58/1000*R58</f>
        <v>0</v>
      </c>
      <c r="Z58" s="38" t="s">
        <v>389</v>
      </c>
      <c r="AB58">
        <v>0.32</v>
      </c>
      <c r="AC58" s="65"/>
      <c r="AD58" s="113">
        <f t="shared" si="7"/>
        <v>0</v>
      </c>
    </row>
    <row r="59" spans="1:30" x14ac:dyDescent="0.2">
      <c r="A59" s="38" t="s">
        <v>390</v>
      </c>
      <c r="C59">
        <v>1.9</v>
      </c>
      <c r="D59" s="65"/>
      <c r="E59" s="84">
        <f t="shared" si="10"/>
        <v>0</v>
      </c>
      <c r="F59" s="38" t="s">
        <v>391</v>
      </c>
      <c r="H59">
        <v>1.3</v>
      </c>
      <c r="I59" s="65"/>
      <c r="J59" s="113">
        <f t="shared" si="8"/>
        <v>0</v>
      </c>
      <c r="K59" s="38" t="s">
        <v>392</v>
      </c>
      <c r="M59">
        <v>0.06</v>
      </c>
      <c r="N59" s="65"/>
      <c r="O59" s="113">
        <f t="shared" si="9"/>
        <v>0</v>
      </c>
      <c r="P59" s="38" t="s">
        <v>393</v>
      </c>
      <c r="R59">
        <v>3.78</v>
      </c>
      <c r="S59" s="65"/>
      <c r="T59" s="113">
        <f>S59/1000*R59</f>
        <v>0</v>
      </c>
      <c r="Z59" s="38" t="s">
        <v>394</v>
      </c>
      <c r="AB59">
        <v>1.3</v>
      </c>
      <c r="AC59" s="65"/>
      <c r="AD59" s="113">
        <f t="shared" si="7"/>
        <v>0</v>
      </c>
    </row>
    <row r="60" spans="1:30" x14ac:dyDescent="0.2">
      <c r="A60" s="38" t="s">
        <v>395</v>
      </c>
      <c r="C60">
        <v>1.9</v>
      </c>
      <c r="D60" s="65"/>
      <c r="E60" s="84">
        <f t="shared" si="10"/>
        <v>0</v>
      </c>
      <c r="F60" s="38" t="s">
        <v>396</v>
      </c>
      <c r="H60">
        <v>0.5</v>
      </c>
      <c r="I60" s="65"/>
      <c r="J60" s="113">
        <f t="shared" si="8"/>
        <v>0</v>
      </c>
      <c r="K60" s="38" t="s">
        <v>397</v>
      </c>
      <c r="M60">
        <v>10</v>
      </c>
      <c r="N60" s="65"/>
      <c r="O60" s="113">
        <f t="shared" si="9"/>
        <v>0</v>
      </c>
      <c r="P60" s="38" t="s">
        <v>398</v>
      </c>
      <c r="R60">
        <v>2.13</v>
      </c>
      <c r="S60" s="65"/>
      <c r="T60" s="113">
        <f>S60/1000*R60</f>
        <v>0</v>
      </c>
      <c r="Z60" s="38" t="s">
        <v>399</v>
      </c>
      <c r="AB60">
        <v>4.8</v>
      </c>
      <c r="AC60" s="65"/>
      <c r="AD60" s="113">
        <f t="shared" si="7"/>
        <v>0</v>
      </c>
    </row>
    <row r="61" spans="1:30" ht="13.5" thickBot="1" x14ac:dyDescent="0.25">
      <c r="A61" s="38" t="s">
        <v>400</v>
      </c>
      <c r="C61">
        <v>0.22</v>
      </c>
      <c r="D61" s="65"/>
      <c r="E61" s="84">
        <f t="shared" si="10"/>
        <v>0</v>
      </c>
      <c r="F61" s="38" t="s">
        <v>401</v>
      </c>
      <c r="H61">
        <v>0.15</v>
      </c>
      <c r="I61" s="65"/>
      <c r="J61" s="113">
        <f t="shared" si="8"/>
        <v>0</v>
      </c>
      <c r="K61" s="114"/>
      <c r="L61" s="115"/>
      <c r="M61" s="115"/>
      <c r="N61" s="115"/>
      <c r="O61" s="116">
        <f>SUM(O54:O60)</f>
        <v>0</v>
      </c>
      <c r="P61" s="114"/>
      <c r="Q61" s="115"/>
      <c r="R61" s="115"/>
      <c r="S61" s="115"/>
      <c r="T61" s="116">
        <f>SUM(T57:T60)</f>
        <v>0</v>
      </c>
      <c r="Z61" s="38" t="s">
        <v>402</v>
      </c>
      <c r="AB61">
        <v>4.8</v>
      </c>
      <c r="AC61" s="65"/>
      <c r="AD61" s="113">
        <f t="shared" si="7"/>
        <v>0</v>
      </c>
    </row>
    <row r="62" spans="1:30" x14ac:dyDescent="0.2">
      <c r="A62" s="38" t="s">
        <v>403</v>
      </c>
      <c r="C62">
        <v>0.87</v>
      </c>
      <c r="D62" s="65"/>
      <c r="E62" s="84">
        <f t="shared" si="10"/>
        <v>0</v>
      </c>
      <c r="F62" s="38" t="s">
        <v>404</v>
      </c>
      <c r="H62">
        <v>3</v>
      </c>
      <c r="I62" s="65"/>
      <c r="J62" s="113">
        <f t="shared" si="8"/>
        <v>0</v>
      </c>
      <c r="Z62" s="38" t="s">
        <v>405</v>
      </c>
      <c r="AB62">
        <v>0.74</v>
      </c>
      <c r="AC62" s="65"/>
      <c r="AD62" s="113">
        <f t="shared" si="7"/>
        <v>0</v>
      </c>
    </row>
    <row r="63" spans="1:30" x14ac:dyDescent="0.2">
      <c r="A63" s="38" t="s">
        <v>406</v>
      </c>
      <c r="C63">
        <v>2.0099999999999998</v>
      </c>
      <c r="D63" s="65"/>
      <c r="E63" s="84">
        <f t="shared" si="10"/>
        <v>0</v>
      </c>
      <c r="F63" s="38" t="s">
        <v>407</v>
      </c>
      <c r="H63">
        <v>0.5</v>
      </c>
      <c r="I63" s="65"/>
      <c r="J63" s="113">
        <f t="shared" si="8"/>
        <v>0</v>
      </c>
      <c r="Z63" s="38" t="s">
        <v>408</v>
      </c>
      <c r="AB63">
        <v>0.5</v>
      </c>
      <c r="AC63" s="65"/>
      <c r="AD63" s="113">
        <f t="shared" si="7"/>
        <v>0</v>
      </c>
    </row>
    <row r="64" spans="1:30" x14ac:dyDescent="0.2">
      <c r="A64" s="38" t="s">
        <v>409</v>
      </c>
      <c r="C64">
        <v>0.62</v>
      </c>
      <c r="D64" s="65"/>
      <c r="E64" s="84">
        <f t="shared" si="10"/>
        <v>0</v>
      </c>
      <c r="F64" s="38" t="s">
        <v>410</v>
      </c>
      <c r="H64">
        <v>0.28999999999999998</v>
      </c>
      <c r="I64" s="65"/>
      <c r="J64" s="113">
        <f t="shared" si="8"/>
        <v>0</v>
      </c>
      <c r="Z64" s="38" t="s">
        <v>411</v>
      </c>
      <c r="AB64">
        <v>0.67</v>
      </c>
      <c r="AC64" s="65"/>
      <c r="AD64" s="113">
        <f t="shared" si="7"/>
        <v>0</v>
      </c>
    </row>
    <row r="65" spans="1:30" x14ac:dyDescent="0.2">
      <c r="A65" s="38" t="s">
        <v>412</v>
      </c>
      <c r="C65">
        <v>0.3</v>
      </c>
      <c r="D65" s="65"/>
      <c r="E65" s="84">
        <f t="shared" si="10"/>
        <v>0</v>
      </c>
      <c r="F65" s="38" t="s">
        <v>413</v>
      </c>
      <c r="H65">
        <v>0.25</v>
      </c>
      <c r="I65" s="65"/>
      <c r="J65" s="113">
        <f t="shared" si="8"/>
        <v>0</v>
      </c>
      <c r="Z65" s="38" t="s">
        <v>414</v>
      </c>
      <c r="AB65">
        <v>0.87</v>
      </c>
      <c r="AC65" s="65"/>
      <c r="AD65" s="113">
        <f t="shared" si="7"/>
        <v>0</v>
      </c>
    </row>
    <row r="66" spans="1:30" x14ac:dyDescent="0.2">
      <c r="A66" s="38" t="s">
        <v>415</v>
      </c>
      <c r="C66">
        <v>0.2</v>
      </c>
      <c r="D66" s="65"/>
      <c r="E66" s="84">
        <f t="shared" si="10"/>
        <v>0</v>
      </c>
      <c r="F66" s="38" t="s">
        <v>416</v>
      </c>
      <c r="H66">
        <v>0.2</v>
      </c>
      <c r="I66" s="65"/>
      <c r="J66" s="113">
        <f t="shared" si="8"/>
        <v>0</v>
      </c>
      <c r="Z66" s="38" t="s">
        <v>417</v>
      </c>
      <c r="AB66">
        <v>0.65</v>
      </c>
      <c r="AC66" s="65"/>
      <c r="AD66" s="113">
        <f t="shared" si="7"/>
        <v>0</v>
      </c>
    </row>
    <row r="67" spans="1:30" x14ac:dyDescent="0.2">
      <c r="A67" s="38" t="s">
        <v>418</v>
      </c>
      <c r="C67">
        <v>16.77</v>
      </c>
      <c r="D67" s="65"/>
      <c r="E67" s="84">
        <f t="shared" si="10"/>
        <v>0</v>
      </c>
      <c r="F67" s="38" t="s">
        <v>419</v>
      </c>
      <c r="H67">
        <v>0.15</v>
      </c>
      <c r="I67" s="65"/>
      <c r="J67" s="113">
        <f t="shared" si="8"/>
        <v>0</v>
      </c>
      <c r="Z67" s="38" t="s">
        <v>420</v>
      </c>
      <c r="AB67">
        <v>0.81</v>
      </c>
      <c r="AC67" s="65"/>
      <c r="AD67" s="113">
        <f t="shared" si="7"/>
        <v>0</v>
      </c>
    </row>
    <row r="68" spans="1:30" x14ac:dyDescent="0.2">
      <c r="A68" s="38" t="s">
        <v>421</v>
      </c>
      <c r="C68">
        <v>9.14</v>
      </c>
      <c r="D68" s="65"/>
      <c r="E68" s="84">
        <f t="shared" si="10"/>
        <v>0</v>
      </c>
      <c r="F68" s="38" t="s">
        <v>422</v>
      </c>
      <c r="H68">
        <v>0.15</v>
      </c>
      <c r="I68" s="65"/>
      <c r="J68" s="113">
        <f t="shared" si="8"/>
        <v>0</v>
      </c>
      <c r="Z68" s="38" t="s">
        <v>423</v>
      </c>
      <c r="AB68">
        <v>1.05</v>
      </c>
      <c r="AC68" s="65"/>
      <c r="AD68" s="113">
        <f t="shared" si="7"/>
        <v>0</v>
      </c>
    </row>
    <row r="69" spans="1:30" x14ac:dyDescent="0.2">
      <c r="A69" s="38" t="s">
        <v>424</v>
      </c>
      <c r="C69">
        <v>0.01</v>
      </c>
      <c r="D69" s="65"/>
      <c r="E69" s="84">
        <f t="shared" si="10"/>
        <v>0</v>
      </c>
      <c r="F69" s="38" t="s">
        <v>425</v>
      </c>
      <c r="H69">
        <v>0.39</v>
      </c>
      <c r="I69" s="65"/>
      <c r="J69" s="113">
        <f t="shared" si="8"/>
        <v>0</v>
      </c>
      <c r="Z69" s="38" t="s">
        <v>426</v>
      </c>
      <c r="AB69">
        <v>1.35</v>
      </c>
      <c r="AC69" s="65"/>
      <c r="AD69" s="113">
        <f t="shared" si="7"/>
        <v>0</v>
      </c>
    </row>
    <row r="70" spans="1:30" ht="13.5" thickBot="1" x14ac:dyDescent="0.25">
      <c r="A70" s="38" t="s">
        <v>427</v>
      </c>
      <c r="C70">
        <v>0.05</v>
      </c>
      <c r="D70" s="65"/>
      <c r="E70" s="84">
        <f t="shared" si="10"/>
        <v>0</v>
      </c>
      <c r="F70" s="38" t="s">
        <v>428</v>
      </c>
      <c r="H70">
        <v>0.25</v>
      </c>
      <c r="I70" s="65"/>
      <c r="J70" s="113">
        <f t="shared" si="8"/>
        <v>0</v>
      </c>
      <c r="Z70" s="114"/>
      <c r="AA70" s="115"/>
      <c r="AB70" s="115"/>
      <c r="AC70" s="115"/>
      <c r="AD70" s="116">
        <f>SUM(AD34:AD69)</f>
        <v>0</v>
      </c>
    </row>
    <row r="71" spans="1:30" x14ac:dyDescent="0.2">
      <c r="A71" s="38" t="s">
        <v>429</v>
      </c>
      <c r="C71">
        <v>3.55</v>
      </c>
      <c r="D71" s="65"/>
      <c r="E71" s="84">
        <f t="shared" si="10"/>
        <v>0</v>
      </c>
      <c r="F71" s="38" t="s">
        <v>430</v>
      </c>
      <c r="H71">
        <v>0.39</v>
      </c>
      <c r="I71" s="65"/>
      <c r="J71" s="113">
        <f t="shared" si="8"/>
        <v>0</v>
      </c>
    </row>
    <row r="72" spans="1:30" x14ac:dyDescent="0.2">
      <c r="A72" s="38" t="s">
        <v>431</v>
      </c>
      <c r="C72">
        <v>0.2</v>
      </c>
      <c r="D72" s="65"/>
      <c r="E72" s="84">
        <f t="shared" si="10"/>
        <v>0</v>
      </c>
      <c r="F72" s="38" t="s">
        <v>432</v>
      </c>
      <c r="H72">
        <v>0.25</v>
      </c>
      <c r="I72" s="65"/>
      <c r="J72" s="113">
        <f t="shared" si="8"/>
        <v>0</v>
      </c>
    </row>
    <row r="73" spans="1:30" x14ac:dyDescent="0.2">
      <c r="A73" s="38" t="s">
        <v>433</v>
      </c>
      <c r="C73">
        <v>0.45</v>
      </c>
      <c r="D73" s="65"/>
      <c r="E73" s="84">
        <f t="shared" si="10"/>
        <v>0</v>
      </c>
      <c r="F73" s="38" t="s">
        <v>434</v>
      </c>
      <c r="H73">
        <v>0.15</v>
      </c>
      <c r="I73" s="65"/>
      <c r="J73" s="113">
        <f t="shared" si="8"/>
        <v>0</v>
      </c>
    </row>
    <row r="74" spans="1:30" x14ac:dyDescent="0.2">
      <c r="A74" s="38" t="s">
        <v>435</v>
      </c>
      <c r="C74">
        <v>0.09</v>
      </c>
      <c r="D74" s="65"/>
      <c r="E74" s="84">
        <f t="shared" si="10"/>
        <v>0</v>
      </c>
      <c r="F74" s="38" t="s">
        <v>434</v>
      </c>
      <c r="H74">
        <v>0.25</v>
      </c>
      <c r="I74" s="65"/>
      <c r="J74" s="113">
        <f t="shared" si="8"/>
        <v>0</v>
      </c>
    </row>
    <row r="75" spans="1:30" x14ac:dyDescent="0.2">
      <c r="A75" s="38" t="s">
        <v>436</v>
      </c>
      <c r="C75">
        <v>1.24</v>
      </c>
      <c r="D75" s="65"/>
      <c r="E75" s="84">
        <f t="shared" si="10"/>
        <v>0</v>
      </c>
      <c r="F75" s="38" t="s">
        <v>437</v>
      </c>
      <c r="H75">
        <v>0.25</v>
      </c>
      <c r="I75" s="65"/>
      <c r="J75" s="113">
        <f t="shared" si="8"/>
        <v>0</v>
      </c>
    </row>
    <row r="76" spans="1:30" x14ac:dyDescent="0.2">
      <c r="A76" s="38" t="s">
        <v>438</v>
      </c>
      <c r="C76">
        <v>0.11</v>
      </c>
      <c r="D76" s="65"/>
      <c r="E76" s="84">
        <f t="shared" si="10"/>
        <v>0</v>
      </c>
      <c r="F76" s="38" t="s">
        <v>439</v>
      </c>
      <c r="H76">
        <v>1</v>
      </c>
      <c r="I76" s="65"/>
      <c r="J76" s="113">
        <f t="shared" si="8"/>
        <v>0</v>
      </c>
    </row>
    <row r="77" spans="1:30" x14ac:dyDescent="0.2">
      <c r="A77" s="38" t="s">
        <v>440</v>
      </c>
      <c r="C77">
        <v>0.9</v>
      </c>
      <c r="D77" s="65"/>
      <c r="E77" s="84">
        <f t="shared" si="10"/>
        <v>0</v>
      </c>
      <c r="F77" s="38" t="s">
        <v>441</v>
      </c>
      <c r="H77">
        <v>3.46</v>
      </c>
      <c r="I77" s="65"/>
      <c r="J77" s="113">
        <f t="shared" si="8"/>
        <v>0</v>
      </c>
    </row>
    <row r="78" spans="1:30" ht="13.5" thickBot="1" x14ac:dyDescent="0.25">
      <c r="A78" s="114"/>
      <c r="B78" s="115"/>
      <c r="C78" s="115"/>
      <c r="D78" s="115"/>
      <c r="E78" s="119">
        <f>SUM(E55:E77)</f>
        <v>0</v>
      </c>
      <c r="F78" s="38" t="s">
        <v>442</v>
      </c>
      <c r="H78">
        <v>1.1000000000000001</v>
      </c>
      <c r="I78" s="65"/>
      <c r="J78" s="113">
        <f t="shared" si="8"/>
        <v>0</v>
      </c>
    </row>
    <row r="79" spans="1:30" x14ac:dyDescent="0.2">
      <c r="A79" s="109" t="s">
        <v>443</v>
      </c>
      <c r="B79" s="110"/>
      <c r="C79" s="110"/>
      <c r="D79" s="110"/>
      <c r="E79" s="110"/>
      <c r="F79" s="38" t="s">
        <v>444</v>
      </c>
      <c r="H79">
        <v>0.25</v>
      </c>
      <c r="I79" s="65"/>
      <c r="J79" s="113">
        <f t="shared" si="8"/>
        <v>0</v>
      </c>
    </row>
    <row r="80" spans="1:30" x14ac:dyDescent="0.2">
      <c r="A80" s="38" t="s">
        <v>445</v>
      </c>
      <c r="C80">
        <v>0.1</v>
      </c>
      <c r="D80" s="65"/>
      <c r="E80" s="84">
        <f>D80/1000*C80</f>
        <v>0</v>
      </c>
      <c r="F80" s="38" t="s">
        <v>446</v>
      </c>
      <c r="H80">
        <v>0.39</v>
      </c>
      <c r="I80" s="65"/>
      <c r="J80" s="113">
        <f t="shared" si="8"/>
        <v>0</v>
      </c>
    </row>
    <row r="81" spans="1:10" ht="13.5" thickBot="1" x14ac:dyDescent="0.25">
      <c r="A81" s="38" t="s">
        <v>447</v>
      </c>
      <c r="C81">
        <v>0.01</v>
      </c>
      <c r="D81" s="65"/>
      <c r="E81" s="84">
        <f>D81/1000*C81</f>
        <v>0</v>
      </c>
      <c r="F81" s="114"/>
      <c r="G81" s="115"/>
      <c r="H81" s="115"/>
      <c r="I81" s="115"/>
      <c r="J81" s="116">
        <f>SUM(J44:J80)</f>
        <v>0</v>
      </c>
    </row>
    <row r="82" spans="1:10" x14ac:dyDescent="0.2">
      <c r="A82" s="38" t="s">
        <v>448</v>
      </c>
      <c r="C82">
        <v>0.08</v>
      </c>
      <c r="D82" s="65"/>
      <c r="E82" s="113">
        <f>D82/1000*C82</f>
        <v>0</v>
      </c>
    </row>
    <row r="83" spans="1:10" ht="13.5" thickBot="1" x14ac:dyDescent="0.25">
      <c r="A83" s="114"/>
      <c r="B83" s="115"/>
      <c r="C83" s="115"/>
      <c r="D83" s="115"/>
      <c r="E83" s="118">
        <f>SUM(E80:E82)</f>
        <v>0</v>
      </c>
    </row>
    <row r="86" spans="1:10" x14ac:dyDescent="0.2">
      <c r="A86" t="s">
        <v>449</v>
      </c>
    </row>
  </sheetData>
  <pageMargins left="0.7" right="0.7" top="0.75" bottom="0.75" header="0.3" footer="0.3"/>
  <pageSetup paperSize="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77"/>
  <sheetViews>
    <sheetView topLeftCell="A43" workbookViewId="0">
      <selection activeCell="B25" sqref="B25"/>
    </sheetView>
  </sheetViews>
  <sheetFormatPr defaultRowHeight="12.75" x14ac:dyDescent="0.2"/>
  <cols>
    <col min="1" max="1" width="28.85546875" customWidth="1"/>
    <col min="2" max="2" width="15.7109375" customWidth="1"/>
    <col min="5" max="5" width="17.5703125" customWidth="1"/>
    <col min="8" max="8" width="26.28515625" customWidth="1"/>
  </cols>
  <sheetData>
    <row r="1" spans="1:6" x14ac:dyDescent="0.2">
      <c r="A1" s="3" t="s">
        <v>450</v>
      </c>
      <c r="B1" s="89"/>
      <c r="C1" s="89"/>
      <c r="D1" s="89"/>
      <c r="E1" s="89"/>
      <c r="F1" s="89"/>
    </row>
    <row r="2" spans="1:6" ht="27" x14ac:dyDescent="0.25">
      <c r="A2" s="20" t="s">
        <v>451</v>
      </c>
      <c r="B2" s="46" t="s">
        <v>452</v>
      </c>
      <c r="C2" s="47" t="s">
        <v>453</v>
      </c>
      <c r="D2" s="47" t="s">
        <v>454</v>
      </c>
      <c r="E2" s="47" t="s">
        <v>455</v>
      </c>
      <c r="F2" s="47" t="s">
        <v>456</v>
      </c>
    </row>
    <row r="3" spans="1:6" ht="14.25" x14ac:dyDescent="0.2">
      <c r="A3" s="57" t="s">
        <v>145</v>
      </c>
      <c r="B3" s="169">
        <v>0.17399999999999999</v>
      </c>
      <c r="C3" s="138" t="s">
        <v>457</v>
      </c>
      <c r="D3" s="138">
        <v>2018</v>
      </c>
      <c r="E3" s="138" t="s">
        <v>458</v>
      </c>
      <c r="F3" s="138" t="s">
        <v>459</v>
      </c>
    </row>
    <row r="4" spans="1:6" ht="14.25" x14ac:dyDescent="0.2">
      <c r="A4" s="57" t="s">
        <v>146</v>
      </c>
      <c r="B4" s="169">
        <v>0.09</v>
      </c>
      <c r="C4" s="138" t="s">
        <v>460</v>
      </c>
      <c r="D4" s="138">
        <v>2017</v>
      </c>
      <c r="E4" s="138" t="s">
        <v>461</v>
      </c>
      <c r="F4" s="138" t="s">
        <v>459</v>
      </c>
    </row>
    <row r="5" spans="1:6" ht="14.25" x14ac:dyDescent="0.2">
      <c r="A5" s="57" t="s">
        <v>147</v>
      </c>
      <c r="B5" s="169">
        <v>4.9000000000000002E-2</v>
      </c>
      <c r="C5" s="138" t="s">
        <v>460</v>
      </c>
      <c r="D5" s="138">
        <v>2017</v>
      </c>
      <c r="E5" s="138" t="s">
        <v>461</v>
      </c>
      <c r="F5" s="138" t="s">
        <v>459</v>
      </c>
    </row>
    <row r="6" spans="1:6" ht="14.25" x14ac:dyDescent="0.2">
      <c r="A6" s="57" t="s">
        <v>148</v>
      </c>
      <c r="B6" s="169">
        <v>3.7999999999999999E-2</v>
      </c>
      <c r="C6" s="138" t="s">
        <v>460</v>
      </c>
      <c r="D6" s="138">
        <v>2017</v>
      </c>
      <c r="E6" s="138" t="s">
        <v>461</v>
      </c>
      <c r="F6" s="138" t="s">
        <v>459</v>
      </c>
    </row>
    <row r="7" spans="1:6" ht="14.25" x14ac:dyDescent="0.2">
      <c r="A7" s="57" t="s">
        <v>149</v>
      </c>
      <c r="B7" s="169">
        <v>0.03</v>
      </c>
      <c r="C7" s="138" t="s">
        <v>460</v>
      </c>
      <c r="D7" s="138">
        <v>2017</v>
      </c>
      <c r="E7" s="138" t="s">
        <v>461</v>
      </c>
      <c r="F7" s="138" t="s">
        <v>459</v>
      </c>
    </row>
    <row r="8" spans="1:6" ht="14.25" x14ac:dyDescent="0.2">
      <c r="A8" s="57" t="s">
        <v>462</v>
      </c>
      <c r="B8" s="169">
        <v>4.2000000000000003E-2</v>
      </c>
      <c r="C8" s="138" t="s">
        <v>460</v>
      </c>
      <c r="D8" s="138">
        <v>2017</v>
      </c>
      <c r="E8" s="138" t="s">
        <v>461</v>
      </c>
      <c r="F8" s="138" t="s">
        <v>459</v>
      </c>
    </row>
    <row r="9" spans="1:6" ht="14.25" x14ac:dyDescent="0.2">
      <c r="A9" s="57" t="s">
        <v>171</v>
      </c>
      <c r="B9" s="169">
        <v>2.325E-2</v>
      </c>
      <c r="C9" s="138" t="s">
        <v>460</v>
      </c>
      <c r="D9" s="138">
        <v>2017</v>
      </c>
      <c r="E9" s="138" t="s">
        <v>461</v>
      </c>
      <c r="F9" s="138" t="s">
        <v>459</v>
      </c>
    </row>
    <row r="10" spans="1:6" ht="14.25" x14ac:dyDescent="0.2">
      <c r="A10" s="57" t="s">
        <v>172</v>
      </c>
      <c r="B10" s="169">
        <v>0</v>
      </c>
      <c r="C10" s="138" t="s">
        <v>460</v>
      </c>
      <c r="D10" s="138">
        <v>2017</v>
      </c>
      <c r="E10" s="138" t="s">
        <v>461</v>
      </c>
      <c r="F10" s="138" t="s">
        <v>459</v>
      </c>
    </row>
    <row r="11" spans="1:6" ht="14.25" x14ac:dyDescent="0.2">
      <c r="A11" s="57" t="s">
        <v>175</v>
      </c>
      <c r="B11" s="169">
        <v>1.9330000000000001</v>
      </c>
      <c r="C11" s="138" t="s">
        <v>460</v>
      </c>
      <c r="D11" s="138">
        <v>2010</v>
      </c>
      <c r="E11" s="138" t="s">
        <v>461</v>
      </c>
      <c r="F11" s="138" t="s">
        <v>459</v>
      </c>
    </row>
    <row r="12" spans="1:6" ht="14.25" x14ac:dyDescent="0.2">
      <c r="A12" s="57" t="s">
        <v>176</v>
      </c>
      <c r="B12" s="169">
        <v>1.4159999999999999</v>
      </c>
      <c r="C12" s="138" t="s">
        <v>460</v>
      </c>
      <c r="D12" s="138">
        <v>2010</v>
      </c>
      <c r="E12" s="138" t="s">
        <v>461</v>
      </c>
      <c r="F12" s="138" t="s">
        <v>459</v>
      </c>
    </row>
    <row r="13" spans="1:6" ht="14.25" x14ac:dyDescent="0.2">
      <c r="A13" s="57" t="s">
        <v>177</v>
      </c>
      <c r="B13" s="169">
        <v>0.6</v>
      </c>
      <c r="C13" s="138" t="s">
        <v>460</v>
      </c>
      <c r="D13" s="138">
        <v>2010</v>
      </c>
      <c r="E13" s="138" t="s">
        <v>461</v>
      </c>
      <c r="F13" s="138" t="s">
        <v>459</v>
      </c>
    </row>
    <row r="14" spans="1:6" x14ac:dyDescent="0.2">
      <c r="A14" s="3" t="s">
        <v>463</v>
      </c>
      <c r="B14" s="89"/>
      <c r="C14" s="89"/>
      <c r="D14" s="89"/>
      <c r="E14" s="89"/>
      <c r="F14" s="89"/>
    </row>
    <row r="15" spans="1:6" ht="27" x14ac:dyDescent="0.25">
      <c r="A15" s="20" t="s">
        <v>464</v>
      </c>
      <c r="B15" s="46" t="s">
        <v>452</v>
      </c>
      <c r="C15" s="47" t="s">
        <v>453</v>
      </c>
      <c r="D15" s="47" t="s">
        <v>454</v>
      </c>
      <c r="E15" s="47" t="s">
        <v>455</v>
      </c>
      <c r="F15" s="47" t="s">
        <v>456</v>
      </c>
    </row>
    <row r="16" spans="1:6" ht="25.5" x14ac:dyDescent="0.2">
      <c r="A16" s="170" t="s">
        <v>515</v>
      </c>
      <c r="B16" s="169">
        <v>190</v>
      </c>
      <c r="C16" s="138" t="s">
        <v>465</v>
      </c>
      <c r="D16" s="138">
        <v>2010</v>
      </c>
      <c r="E16" s="138" t="s">
        <v>461</v>
      </c>
      <c r="F16" s="138" t="s">
        <v>459</v>
      </c>
    </row>
    <row r="17" spans="1:256" ht="25.5" x14ac:dyDescent="0.2">
      <c r="A17" s="170" t="s">
        <v>466</v>
      </c>
      <c r="B17" s="169">
        <v>129</v>
      </c>
      <c r="C17" s="138" t="s">
        <v>465</v>
      </c>
      <c r="D17" s="138">
        <v>2010</v>
      </c>
      <c r="E17" s="138" t="s">
        <v>461</v>
      </c>
      <c r="F17" s="138" t="s">
        <v>459</v>
      </c>
    </row>
    <row r="18" spans="1:256" ht="25.5" x14ac:dyDescent="0.2">
      <c r="A18" s="170" t="s">
        <v>516</v>
      </c>
      <c r="B18" s="169">
        <v>271</v>
      </c>
      <c r="C18" s="138" t="s">
        <v>465</v>
      </c>
      <c r="D18" s="138">
        <v>2010</v>
      </c>
      <c r="E18" s="138" t="s">
        <v>461</v>
      </c>
      <c r="F18" s="138" t="s">
        <v>459</v>
      </c>
    </row>
    <row r="19" spans="1:256" ht="25.5" x14ac:dyDescent="0.2">
      <c r="A19" s="170" t="s">
        <v>467</v>
      </c>
      <c r="B19" s="169">
        <v>155</v>
      </c>
      <c r="C19" s="138" t="s">
        <v>465</v>
      </c>
      <c r="D19" s="138">
        <v>2010</v>
      </c>
      <c r="E19" s="138" t="s">
        <v>461</v>
      </c>
      <c r="F19" s="138" t="s">
        <v>459</v>
      </c>
    </row>
    <row r="20" spans="1:256" ht="26.25" x14ac:dyDescent="0.25">
      <c r="A20" s="49" t="s">
        <v>468</v>
      </c>
      <c r="B20" s="169">
        <v>83</v>
      </c>
      <c r="C20" s="138" t="s">
        <v>465</v>
      </c>
      <c r="D20" s="138">
        <v>2017</v>
      </c>
      <c r="E20" s="138" t="s">
        <v>461</v>
      </c>
      <c r="F20" s="138" t="s">
        <v>459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26.25" x14ac:dyDescent="0.25">
      <c r="A21" s="171" t="s">
        <v>469</v>
      </c>
      <c r="B21" s="169">
        <v>94</v>
      </c>
      <c r="C21" s="138" t="s">
        <v>465</v>
      </c>
      <c r="D21" s="138">
        <v>2017</v>
      </c>
      <c r="E21" s="138" t="s">
        <v>461</v>
      </c>
      <c r="F21" s="138" t="s">
        <v>459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15" x14ac:dyDescent="0.25">
      <c r="A22" s="57" t="s">
        <v>470</v>
      </c>
      <c r="B22" s="169">
        <v>53</v>
      </c>
      <c r="C22" s="138" t="s">
        <v>465</v>
      </c>
      <c r="D22" s="138">
        <v>2018</v>
      </c>
      <c r="E22" s="138" t="s">
        <v>461</v>
      </c>
      <c r="F22" s="138" t="s">
        <v>459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ht="15" x14ac:dyDescent="0.25">
      <c r="A23" s="57" t="s">
        <v>471</v>
      </c>
      <c r="B23" s="169">
        <v>0</v>
      </c>
      <c r="C23" s="138" t="s">
        <v>465</v>
      </c>
      <c r="D23" s="138">
        <v>2017</v>
      </c>
      <c r="E23" s="138" t="s">
        <v>461</v>
      </c>
      <c r="F23" s="138" t="s">
        <v>459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15" x14ac:dyDescent="0.25">
      <c r="A24" s="57" t="s">
        <v>472</v>
      </c>
      <c r="B24" s="169">
        <v>94</v>
      </c>
      <c r="C24" s="138" t="s">
        <v>465</v>
      </c>
      <c r="D24" s="138">
        <v>2017</v>
      </c>
      <c r="E24" s="138" t="s">
        <v>461</v>
      </c>
      <c r="F24" s="138" t="s">
        <v>459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15" x14ac:dyDescent="0.25">
      <c r="A25" s="57" t="s">
        <v>473</v>
      </c>
      <c r="B25" s="169">
        <v>0.5</v>
      </c>
      <c r="C25" s="138" t="s">
        <v>474</v>
      </c>
      <c r="D25" s="138">
        <v>2009</v>
      </c>
      <c r="E25" s="138" t="s">
        <v>475</v>
      </c>
      <c r="F25" s="138" t="s">
        <v>459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x14ac:dyDescent="0.2">
      <c r="A26" s="3" t="s">
        <v>476</v>
      </c>
      <c r="B26" s="89"/>
      <c r="C26" s="89"/>
      <c r="D26" s="89"/>
      <c r="E26" s="89"/>
      <c r="F26" s="89"/>
    </row>
    <row r="27" spans="1:256" ht="27" x14ac:dyDescent="0.25">
      <c r="A27" s="20" t="s">
        <v>477</v>
      </c>
      <c r="B27" s="46" t="s">
        <v>452</v>
      </c>
      <c r="C27" s="47" t="s">
        <v>453</v>
      </c>
      <c r="D27" s="47" t="s">
        <v>454</v>
      </c>
      <c r="E27" s="47" t="s">
        <v>455</v>
      </c>
      <c r="F27" s="47" t="s">
        <v>456</v>
      </c>
    </row>
    <row r="28" spans="1:256" ht="28.5" x14ac:dyDescent="0.2">
      <c r="A28" s="57" t="s">
        <v>72</v>
      </c>
      <c r="B28" s="172">
        <v>6.4899999999999999E-2</v>
      </c>
      <c r="C28" s="138" t="s">
        <v>478</v>
      </c>
      <c r="D28" s="138">
        <v>2019</v>
      </c>
      <c r="E28" s="173" t="s">
        <v>479</v>
      </c>
      <c r="F28" s="138" t="s">
        <v>459</v>
      </c>
    </row>
    <row r="29" spans="1:256" ht="28.5" x14ac:dyDescent="0.2">
      <c r="A29" s="57" t="s">
        <v>75</v>
      </c>
      <c r="B29" s="172">
        <v>7.3099999999999998E-2</v>
      </c>
      <c r="C29" s="138" t="s">
        <v>478</v>
      </c>
      <c r="D29" s="138">
        <v>2019</v>
      </c>
      <c r="E29" s="173" t="s">
        <v>479</v>
      </c>
      <c r="F29" s="138" t="s">
        <v>459</v>
      </c>
    </row>
    <row r="30" spans="1:256" ht="28.5" x14ac:dyDescent="0.2">
      <c r="A30" s="174" t="s">
        <v>480</v>
      </c>
      <c r="B30" s="175">
        <v>7.9200000000000007E-2</v>
      </c>
      <c r="C30" s="176" t="s">
        <v>478</v>
      </c>
      <c r="D30" s="176">
        <v>2019</v>
      </c>
      <c r="E30" s="173" t="s">
        <v>479</v>
      </c>
      <c r="F30" s="176" t="s">
        <v>459</v>
      </c>
    </row>
    <row r="31" spans="1:256" ht="25.5" customHeight="1" x14ac:dyDescent="0.2">
      <c r="A31" s="177" t="s">
        <v>481</v>
      </c>
      <c r="B31" s="178">
        <v>7.8399999999999997E-2</v>
      </c>
      <c r="C31" s="179" t="s">
        <v>482</v>
      </c>
      <c r="D31" s="179">
        <v>2019</v>
      </c>
      <c r="E31" s="173" t="s">
        <v>479</v>
      </c>
      <c r="F31" s="179" t="s">
        <v>459</v>
      </c>
    </row>
    <row r="32" spans="1:256" ht="25.5" customHeight="1" x14ac:dyDescent="0.2">
      <c r="A32" s="180" t="s">
        <v>483</v>
      </c>
      <c r="B32" s="181">
        <v>7.6100000000000001E-2</v>
      </c>
      <c r="C32" s="182" t="s">
        <v>482</v>
      </c>
      <c r="D32" s="182">
        <v>2019</v>
      </c>
      <c r="E32" s="173" t="s">
        <v>479</v>
      </c>
      <c r="F32" s="182" t="s">
        <v>459</v>
      </c>
    </row>
    <row r="33" spans="1:6" ht="25.5" customHeight="1" x14ac:dyDescent="0.2">
      <c r="A33" s="57" t="s">
        <v>484</v>
      </c>
      <c r="B33" s="172">
        <v>7.6999999999999999E-2</v>
      </c>
      <c r="C33" s="138" t="s">
        <v>482</v>
      </c>
      <c r="D33" s="138">
        <v>2019</v>
      </c>
      <c r="E33" s="173" t="s">
        <v>479</v>
      </c>
      <c r="F33" s="138" t="s">
        <v>459</v>
      </c>
    </row>
    <row r="34" spans="1:6" ht="28.5" x14ac:dyDescent="0.2">
      <c r="A34" s="57" t="s">
        <v>80</v>
      </c>
      <c r="B34" s="172">
        <v>5.5300000000000002E-2</v>
      </c>
      <c r="C34" s="138" t="s">
        <v>478</v>
      </c>
      <c r="D34" s="138">
        <v>2019</v>
      </c>
      <c r="E34" s="173" t="s">
        <v>479</v>
      </c>
      <c r="F34" s="138" t="s">
        <v>459</v>
      </c>
    </row>
    <row r="35" spans="1:6" ht="25.5" customHeight="1" x14ac:dyDescent="0.2">
      <c r="A35" s="57" t="s">
        <v>81</v>
      </c>
      <c r="B35" s="172">
        <v>5.5800000000000002E-2</v>
      </c>
      <c r="C35" s="138" t="s">
        <v>478</v>
      </c>
      <c r="D35" s="138">
        <v>2019</v>
      </c>
      <c r="E35" s="173" t="s">
        <v>479</v>
      </c>
      <c r="F35" s="138" t="s">
        <v>459</v>
      </c>
    </row>
    <row r="36" spans="1:6" ht="28.5" x14ac:dyDescent="0.2">
      <c r="A36" s="57" t="s">
        <v>82</v>
      </c>
      <c r="B36" s="172">
        <v>0.1076</v>
      </c>
      <c r="C36" s="138" t="s">
        <v>478</v>
      </c>
      <c r="D36" s="138">
        <v>2019</v>
      </c>
      <c r="E36" s="173" t="s">
        <v>479</v>
      </c>
      <c r="F36" s="138" t="s">
        <v>459</v>
      </c>
    </row>
    <row r="37" spans="1:6" ht="25.5" customHeight="1" x14ac:dyDescent="0.2">
      <c r="A37" s="57" t="s">
        <v>83</v>
      </c>
      <c r="B37" s="172">
        <v>0.1032</v>
      </c>
      <c r="C37" s="138" t="s">
        <v>478</v>
      </c>
      <c r="D37" s="138">
        <v>2019</v>
      </c>
      <c r="E37" s="173" t="s">
        <v>479</v>
      </c>
      <c r="F37" s="138" t="s">
        <v>459</v>
      </c>
    </row>
    <row r="38" spans="1:6" ht="25.5" customHeight="1" x14ac:dyDescent="0.2">
      <c r="A38" s="57" t="s">
        <v>84</v>
      </c>
      <c r="B38" s="172">
        <v>9.7000000000000003E-2</v>
      </c>
      <c r="C38" s="138" t="s">
        <v>478</v>
      </c>
      <c r="D38" s="138">
        <v>2019</v>
      </c>
      <c r="E38" s="173" t="s">
        <v>479</v>
      </c>
      <c r="F38" s="138" t="s">
        <v>459</v>
      </c>
    </row>
    <row r="39" spans="1:6" ht="28.5" x14ac:dyDescent="0.2">
      <c r="A39" s="49" t="s">
        <v>517</v>
      </c>
      <c r="B39" s="172">
        <v>0.112</v>
      </c>
      <c r="C39" s="138" t="s">
        <v>478</v>
      </c>
      <c r="D39" s="138">
        <v>2019</v>
      </c>
      <c r="E39" s="173" t="s">
        <v>479</v>
      </c>
      <c r="F39" s="138" t="s">
        <v>459</v>
      </c>
    </row>
    <row r="40" spans="1:6" ht="28.5" x14ac:dyDescent="0.2">
      <c r="A40" s="49" t="s">
        <v>86</v>
      </c>
      <c r="B40" s="172">
        <v>0.1096</v>
      </c>
      <c r="C40" s="138" t="s">
        <v>478</v>
      </c>
      <c r="D40" s="138">
        <v>2019</v>
      </c>
      <c r="E40" s="173" t="s">
        <v>479</v>
      </c>
      <c r="F40" s="138" t="s">
        <v>459</v>
      </c>
    </row>
    <row r="41" spans="1:6" ht="25.5" customHeight="1" x14ac:dyDescent="0.2">
      <c r="A41" s="49" t="s">
        <v>87</v>
      </c>
      <c r="B41" s="172">
        <v>0.1</v>
      </c>
      <c r="C41" s="138" t="s">
        <v>478</v>
      </c>
      <c r="D41" s="138">
        <v>2019</v>
      </c>
      <c r="E41" s="173" t="s">
        <v>479</v>
      </c>
      <c r="F41" s="138" t="s">
        <v>459</v>
      </c>
    </row>
    <row r="42" spans="1:6" ht="25.5" customHeight="1" x14ac:dyDescent="0.2">
      <c r="A42" s="49" t="s">
        <v>88</v>
      </c>
      <c r="B42" s="172">
        <v>7.1999999999999995E-2</v>
      </c>
      <c r="C42" s="138" t="s">
        <v>478</v>
      </c>
      <c r="D42" s="138">
        <v>2019</v>
      </c>
      <c r="E42" s="173" t="s">
        <v>479</v>
      </c>
      <c r="F42" s="138" t="s">
        <v>459</v>
      </c>
    </row>
    <row r="43" spans="1:6" ht="25.5" customHeight="1" x14ac:dyDescent="0.2">
      <c r="A43" s="49" t="s">
        <v>89</v>
      </c>
      <c r="B43" s="172">
        <v>0.1</v>
      </c>
      <c r="C43" s="138" t="s">
        <v>478</v>
      </c>
      <c r="D43" s="138">
        <v>2019</v>
      </c>
      <c r="E43" s="173" t="s">
        <v>479</v>
      </c>
      <c r="F43" s="138" t="s">
        <v>459</v>
      </c>
    </row>
    <row r="44" spans="1:6" ht="28.5" x14ac:dyDescent="0.2">
      <c r="A44" s="57" t="s">
        <v>518</v>
      </c>
      <c r="B44" s="172">
        <v>5.4600000000000003E-2</v>
      </c>
      <c r="C44" s="138" t="s">
        <v>478</v>
      </c>
      <c r="D44" s="138">
        <v>2019</v>
      </c>
      <c r="E44" s="173" t="s">
        <v>479</v>
      </c>
      <c r="F44" s="138" t="s">
        <v>459</v>
      </c>
    </row>
    <row r="45" spans="1:6" x14ac:dyDescent="0.2">
      <c r="A45" s="57" t="s">
        <v>485</v>
      </c>
      <c r="B45" s="183"/>
      <c r="C45" s="138"/>
      <c r="D45" s="138"/>
      <c r="E45" s="138"/>
      <c r="F45" s="138"/>
    </row>
    <row r="46" spans="1:6" ht="14.25" x14ac:dyDescent="0.2">
      <c r="A46" s="57" t="s">
        <v>16</v>
      </c>
      <c r="B46" s="169" t="s">
        <v>486</v>
      </c>
      <c r="C46" s="138" t="s">
        <v>487</v>
      </c>
      <c r="D46" s="138">
        <v>2011</v>
      </c>
      <c r="E46" s="138" t="s">
        <v>488</v>
      </c>
      <c r="F46" s="138" t="s">
        <v>459</v>
      </c>
    </row>
    <row r="47" spans="1:6" ht="27" x14ac:dyDescent="0.2">
      <c r="A47" s="58" t="s">
        <v>49</v>
      </c>
      <c r="B47" s="184">
        <v>418</v>
      </c>
      <c r="C47" s="138" t="s">
        <v>487</v>
      </c>
      <c r="D47" s="138"/>
      <c r="E47" s="173" t="s">
        <v>489</v>
      </c>
      <c r="F47" s="138" t="s">
        <v>490</v>
      </c>
    </row>
    <row r="48" spans="1:6" ht="27" x14ac:dyDescent="0.2">
      <c r="A48" s="58" t="s">
        <v>50</v>
      </c>
      <c r="B48" s="184">
        <v>35</v>
      </c>
      <c r="C48" s="138" t="s">
        <v>487</v>
      </c>
      <c r="D48" s="138"/>
      <c r="E48" s="173" t="s">
        <v>489</v>
      </c>
      <c r="F48" s="138" t="s">
        <v>490</v>
      </c>
    </row>
    <row r="49" spans="1:6" ht="27" x14ac:dyDescent="0.2">
      <c r="A49" s="58" t="s">
        <v>51</v>
      </c>
      <c r="B49" s="184">
        <v>7</v>
      </c>
      <c r="C49" s="138" t="s">
        <v>487</v>
      </c>
      <c r="D49" s="138"/>
      <c r="E49" s="173" t="s">
        <v>489</v>
      </c>
      <c r="F49" s="138" t="s">
        <v>490</v>
      </c>
    </row>
    <row r="50" spans="1:6" ht="27" x14ac:dyDescent="0.2">
      <c r="A50" s="58" t="s">
        <v>52</v>
      </c>
      <c r="B50" s="184">
        <v>24</v>
      </c>
      <c r="C50" s="138" t="s">
        <v>487</v>
      </c>
      <c r="D50" s="138"/>
      <c r="E50" s="173" t="s">
        <v>489</v>
      </c>
      <c r="F50" s="138" t="s">
        <v>490</v>
      </c>
    </row>
    <row r="51" spans="1:6" x14ac:dyDescent="0.2">
      <c r="A51" s="3" t="s">
        <v>491</v>
      </c>
      <c r="B51" s="89"/>
      <c r="C51" s="89"/>
      <c r="D51" s="89"/>
      <c r="E51" s="89"/>
      <c r="F51" s="89"/>
    </row>
    <row r="52" spans="1:6" ht="27" x14ac:dyDescent="0.25">
      <c r="A52" s="20" t="s">
        <v>492</v>
      </c>
      <c r="B52" s="46" t="s">
        <v>452</v>
      </c>
      <c r="C52" s="47" t="s">
        <v>453</v>
      </c>
      <c r="D52" s="47" t="s">
        <v>454</v>
      </c>
      <c r="E52" s="185" t="s">
        <v>455</v>
      </c>
      <c r="F52" s="47" t="s">
        <v>456</v>
      </c>
    </row>
    <row r="53" spans="1:6" ht="14.25" x14ac:dyDescent="0.2">
      <c r="A53" s="49" t="s">
        <v>493</v>
      </c>
      <c r="B53" s="138">
        <v>0.12717300000000001</v>
      </c>
      <c r="C53" s="138" t="s">
        <v>494</v>
      </c>
      <c r="D53" s="138">
        <v>2008</v>
      </c>
      <c r="E53" s="138" t="s">
        <v>519</v>
      </c>
      <c r="F53" s="138" t="s">
        <v>459</v>
      </c>
    </row>
    <row r="54" spans="1:6" ht="14.25" x14ac:dyDescent="0.2">
      <c r="A54" s="49" t="s">
        <v>495</v>
      </c>
      <c r="B54" s="138">
        <v>9.2499999999999995E-3</v>
      </c>
      <c r="C54" s="138" t="s">
        <v>494</v>
      </c>
      <c r="D54" s="138">
        <v>2008</v>
      </c>
      <c r="E54" s="138" t="s">
        <v>519</v>
      </c>
      <c r="F54" s="138" t="s">
        <v>459</v>
      </c>
    </row>
    <row r="55" spans="1:6" x14ac:dyDescent="0.2">
      <c r="A55" s="167"/>
      <c r="B55" s="168"/>
      <c r="C55" s="168"/>
      <c r="D55" s="168"/>
      <c r="E55" s="168"/>
      <c r="F55" s="168"/>
    </row>
    <row r="57" spans="1:6" x14ac:dyDescent="0.2">
      <c r="A57" s="50" t="s">
        <v>496</v>
      </c>
      <c r="B57" s="51"/>
    </row>
    <row r="58" spans="1:6" x14ac:dyDescent="0.2">
      <c r="A58" s="50" t="s">
        <v>497</v>
      </c>
      <c r="B58" s="51"/>
    </row>
    <row r="59" spans="1:6" x14ac:dyDescent="0.2">
      <c r="A59" s="50" t="s">
        <v>512</v>
      </c>
      <c r="B59" s="51"/>
      <c r="C59" s="51"/>
      <c r="D59" s="51"/>
      <c r="E59" s="51"/>
      <c r="F59" s="51"/>
    </row>
    <row r="60" spans="1:6" x14ac:dyDescent="0.2">
      <c r="A60" s="51" t="s">
        <v>498</v>
      </c>
      <c r="B60" s="51"/>
      <c r="C60" s="51"/>
      <c r="D60" s="51"/>
      <c r="E60" s="51"/>
      <c r="F60" s="51"/>
    </row>
    <row r="61" spans="1:6" x14ac:dyDescent="0.2">
      <c r="A61" s="50" t="s">
        <v>499</v>
      </c>
      <c r="B61" s="51"/>
      <c r="C61" s="51"/>
      <c r="D61" s="51"/>
      <c r="E61" s="51"/>
      <c r="F61" s="51"/>
    </row>
    <row r="62" spans="1:6" x14ac:dyDescent="0.2">
      <c r="A62" s="51" t="s">
        <v>500</v>
      </c>
      <c r="B62" s="51"/>
      <c r="C62" s="51"/>
      <c r="D62" s="51"/>
      <c r="E62" s="51"/>
      <c r="F62" s="51"/>
    </row>
    <row r="63" spans="1:6" x14ac:dyDescent="0.2">
      <c r="A63" s="50" t="s">
        <v>501</v>
      </c>
      <c r="B63" s="51"/>
      <c r="C63" s="51"/>
      <c r="D63" s="51"/>
      <c r="E63" s="51"/>
      <c r="F63" s="51"/>
    </row>
    <row r="64" spans="1:6" x14ac:dyDescent="0.2">
      <c r="A64" s="51" t="s">
        <v>502</v>
      </c>
      <c r="B64" s="51"/>
      <c r="C64" s="51"/>
      <c r="D64" s="51"/>
      <c r="E64" s="51"/>
      <c r="F64" s="51"/>
    </row>
    <row r="65" spans="1:9" x14ac:dyDescent="0.2">
      <c r="A65" s="51" t="s">
        <v>513</v>
      </c>
      <c r="B65" s="51"/>
      <c r="C65" s="51"/>
      <c r="D65" s="51"/>
      <c r="E65" s="51"/>
      <c r="F65" s="51"/>
      <c r="G65" s="51"/>
      <c r="H65" s="51"/>
      <c r="I65" s="51"/>
    </row>
    <row r="66" spans="1:9" x14ac:dyDescent="0.2">
      <c r="A66" s="51" t="s">
        <v>514</v>
      </c>
      <c r="B66" s="51"/>
    </row>
    <row r="67" spans="1:9" x14ac:dyDescent="0.2">
      <c r="A67" s="51" t="s">
        <v>503</v>
      </c>
      <c r="B67" s="51"/>
    </row>
    <row r="69" spans="1:9" x14ac:dyDescent="0.2">
      <c r="A69" t="s">
        <v>213</v>
      </c>
    </row>
    <row r="70" spans="1:9" ht="13.5" customHeight="1" x14ac:dyDescent="0.2">
      <c r="A70" t="s">
        <v>504</v>
      </c>
    </row>
    <row r="71" spans="1:9" ht="13.5" customHeight="1" x14ac:dyDescent="0.2">
      <c r="A71" t="s">
        <v>505</v>
      </c>
    </row>
    <row r="72" spans="1:9" x14ac:dyDescent="0.2">
      <c r="A72" t="s">
        <v>506</v>
      </c>
    </row>
    <row r="73" spans="1:9" x14ac:dyDescent="0.2">
      <c r="A73" t="s">
        <v>507</v>
      </c>
    </row>
    <row r="74" spans="1:9" x14ac:dyDescent="0.2">
      <c r="A74" t="s">
        <v>508</v>
      </c>
    </row>
    <row r="75" spans="1:9" x14ac:dyDescent="0.2">
      <c r="A75" t="s">
        <v>509</v>
      </c>
    </row>
    <row r="76" spans="1:9" x14ac:dyDescent="0.2">
      <c r="A76" t="s">
        <v>510</v>
      </c>
    </row>
    <row r="77" spans="1:9" x14ac:dyDescent="0.2">
      <c r="A77" t="s">
        <v>511</v>
      </c>
    </row>
  </sheetData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Tiedot</vt:lpstr>
      <vt:lpstr>Hiilijalanjälki</vt:lpstr>
      <vt:lpstr>Sähkönkulutus</vt:lpstr>
      <vt:lpstr>Lämpö- ja polttoaineet</vt:lpstr>
      <vt:lpstr>Muut</vt:lpstr>
      <vt:lpstr>Ruuan valmistus</vt:lpstr>
      <vt:lpstr>Päästökertoimet</vt:lpstr>
    </vt:vector>
  </TitlesOfParts>
  <Manager/>
  <Company>MAMK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VÄHIMAT-laskuri</dc:title>
  <dc:subject/>
  <dc:creator>Timo.Siiskonen@mamk.fi</dc:creator>
  <cp:keywords/>
  <dc:description/>
  <cp:lastModifiedBy>Antti</cp:lastModifiedBy>
  <cp:revision/>
  <dcterms:created xsi:type="dcterms:W3CDTF">2011-05-04T05:59:05Z</dcterms:created>
  <dcterms:modified xsi:type="dcterms:W3CDTF">2019-05-27T11:47:39Z</dcterms:modified>
  <cp:category/>
  <cp:contentStatus/>
</cp:coreProperties>
</file>